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1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namericana\Documents\1unicoc\241\investigaciones\gamez\"/>
    </mc:Choice>
  </mc:AlternateContent>
  <xr:revisionPtr revIDLastSave="0" documentId="8_{7CE1FC95-80D2-48DE-84AB-C91C0926AB9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sultadso" sheetId="8" r:id="rId1"/>
    <sheet name="base" sheetId="6" r:id="rId2"/>
    <sheet name="Hoja4" sheetId="7" r:id="rId3"/>
    <sheet name="Table 1" sheetId="1" r:id="rId4"/>
    <sheet name="Table 2" sheetId="2" r:id="rId5"/>
    <sheet name="vivid" sheetId="4" r:id="rId6"/>
    <sheet name="zotion" sheetId="3" r:id="rId7"/>
    <sheet name="segemax" sheetId="5" r:id="rId8"/>
  </sheets>
  <externalReferences>
    <externalReference r:id="rId9"/>
  </externalReferences>
  <definedNames>
    <definedName name="_Toc153189209" localSheetId="2">Hoja4!$A$3</definedName>
    <definedName name="_Toc153189210" localSheetId="2">Hoja4!$A$6</definedName>
    <definedName name="_xlchart.v1.0" hidden="1">base!$A$1</definedName>
    <definedName name="_xlchart.v1.1" hidden="1">base!$A$2:$A$17</definedName>
    <definedName name="_xlchart.v1.2" hidden="1">base!$B$1</definedName>
    <definedName name="_xlchart.v1.3" hidden="1">base!$B$2:$B$17</definedName>
    <definedName name="_xlchart.v1.4" hidden="1">base!$C$1</definedName>
    <definedName name="_xlchart.v1.5" hidden="1">base!$C$2:$C$17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2" i="6" l="1"/>
  <c r="AF12" i="6"/>
  <c r="AG12" i="6"/>
  <c r="AI12" i="6"/>
  <c r="AJ12" i="6"/>
  <c r="AE13" i="6"/>
  <c r="AF13" i="6"/>
  <c r="AG13" i="6"/>
  <c r="AI13" i="6"/>
  <c r="AJ13" i="6"/>
  <c r="AJ11" i="6"/>
  <c r="AI11" i="6"/>
  <c r="AG11" i="6"/>
  <c r="AF11" i="6"/>
  <c r="AE11" i="6"/>
  <c r="AD13" i="6"/>
  <c r="AC13" i="6"/>
  <c r="AB13" i="6"/>
  <c r="AA13" i="6"/>
  <c r="AD12" i="6"/>
  <c r="AC12" i="6"/>
  <c r="AB12" i="6"/>
  <c r="AA12" i="6"/>
  <c r="AD11" i="6"/>
  <c r="AC11" i="6"/>
  <c r="AB11" i="6"/>
  <c r="AA11" i="6"/>
  <c r="AE8" i="6"/>
  <c r="AD8" i="6"/>
  <c r="AC8" i="6"/>
  <c r="AD7" i="6"/>
  <c r="AC7" i="6"/>
  <c r="AB7" i="6"/>
  <c r="AA7" i="6"/>
  <c r="AD6" i="6"/>
  <c r="AC6" i="6"/>
  <c r="AB6" i="6"/>
  <c r="AA6" i="6"/>
  <c r="AD5" i="6"/>
  <c r="AC5" i="6"/>
  <c r="AB5" i="6"/>
  <c r="AA5" i="6"/>
  <c r="T15" i="6"/>
  <c r="S15" i="6"/>
  <c r="S14" i="6" s="1"/>
  <c r="T14" i="6" s="1"/>
  <c r="X13" i="6" s="1"/>
  <c r="R15" i="6"/>
  <c r="R13" i="6" s="1"/>
  <c r="W13" i="6" s="1"/>
  <c r="R14" i="6"/>
  <c r="S13" i="6"/>
  <c r="V9" i="6"/>
  <c r="U9" i="6"/>
  <c r="T9" i="6"/>
  <c r="S9" i="6"/>
  <c r="R9" i="6"/>
  <c r="Q9" i="6"/>
  <c r="V8" i="6"/>
  <c r="U8" i="6"/>
  <c r="T8" i="6"/>
  <c r="S8" i="6"/>
  <c r="R8" i="6"/>
  <c r="Q8" i="6"/>
  <c r="V7" i="6"/>
  <c r="U7" i="6"/>
  <c r="T7" i="6"/>
  <c r="S7" i="6"/>
  <c r="R7" i="6"/>
  <c r="Q7" i="6"/>
  <c r="L4" i="6"/>
  <c r="M4" i="6"/>
  <c r="K4" i="6"/>
  <c r="G5" i="6"/>
  <c r="H5" i="6"/>
  <c r="G6" i="6"/>
  <c r="H6" i="6"/>
  <c r="G7" i="6"/>
  <c r="H7" i="6"/>
  <c r="G8" i="6"/>
  <c r="H8" i="6"/>
  <c r="G9" i="6"/>
  <c r="H9" i="6"/>
  <c r="G10" i="6"/>
  <c r="H10" i="6"/>
  <c r="G11" i="6"/>
  <c r="H11" i="6"/>
  <c r="G12" i="6"/>
  <c r="H12" i="6"/>
  <c r="G14" i="6"/>
  <c r="G13" i="6" s="1"/>
  <c r="H14" i="6"/>
  <c r="G15" i="6"/>
  <c r="H15" i="6"/>
  <c r="H13" i="6" s="1"/>
  <c r="G16" i="6"/>
  <c r="H16" i="6"/>
  <c r="G17" i="6"/>
  <c r="H17" i="6"/>
  <c r="G18" i="6"/>
  <c r="H18" i="6"/>
  <c r="G19" i="6"/>
  <c r="H19" i="6"/>
  <c r="G20" i="6"/>
  <c r="H20" i="6"/>
  <c r="F20" i="6"/>
  <c r="F19" i="6"/>
  <c r="F18" i="6"/>
  <c r="F17" i="6"/>
  <c r="F16" i="6"/>
  <c r="F15" i="6"/>
  <c r="F14" i="6"/>
  <c r="F12" i="6"/>
  <c r="F11" i="6"/>
  <c r="F10" i="6"/>
  <c r="F9" i="6"/>
  <c r="F8" i="6"/>
  <c r="F7" i="6"/>
  <c r="F6" i="6"/>
  <c r="F5" i="6"/>
  <c r="G4" i="6"/>
  <c r="H4" i="6"/>
  <c r="F4" i="6"/>
  <c r="AH12" i="6"/>
  <c r="AH13" i="6"/>
  <c r="AH11" i="6"/>
  <c r="AF8" i="6"/>
  <c r="L12" i="6"/>
  <c r="M13" i="6"/>
  <c r="M12" i="6"/>
  <c r="L13" i="6"/>
  <c r="K13" i="6"/>
  <c r="K12" i="6"/>
  <c r="L5" i="6"/>
  <c r="M5" i="6"/>
  <c r="L6" i="6"/>
  <c r="M6" i="6"/>
  <c r="K6" i="6"/>
  <c r="K5" i="6"/>
  <c r="G21" i="6"/>
  <c r="H21" i="6"/>
  <c r="H22" i="6"/>
  <c r="G22" i="6"/>
  <c r="F22" i="6"/>
  <c r="F21" i="6"/>
  <c r="Y13" i="6" l="1"/>
  <c r="W8" i="6"/>
  <c r="X8" i="6" s="1"/>
  <c r="W9" i="6"/>
  <c r="X9" i="6" s="1"/>
  <c r="W7" i="6"/>
  <c r="X7" i="6"/>
  <c r="Y7" i="6"/>
  <c r="T13" i="6"/>
  <c r="U13" i="6" s="1"/>
  <c r="V13" i="6" s="1"/>
  <c r="K8" i="6"/>
  <c r="K15" i="6"/>
  <c r="L15" i="6"/>
  <c r="M15" i="6"/>
  <c r="M8" i="6"/>
  <c r="L8" i="6"/>
  <c r="F13" i="6"/>
  <c r="Y8" i="6" l="1"/>
  <c r="Y9" i="6"/>
</calcChain>
</file>

<file path=xl/sharedStrings.xml><?xml version="1.0" encoding="utf-8"?>
<sst xmlns="http://schemas.openxmlformats.org/spreadsheetml/2006/main" count="167" uniqueCount="96">
  <si>
    <t>PRUEBA</t>
  </si>
  <si>
    <t>OBJETIVO</t>
  </si>
  <si>
    <t>ANALISIS EXPLORATORIO DE DATOS</t>
  </si>
  <si>
    <t>DESCRIBIR LA MUESTRA</t>
  </si>
  <si>
    <t>VIVID Carga [N]</t>
  </si>
  <si>
    <t>Zotion CargaV[N]</t>
  </si>
  <si>
    <t>Segemax Carga [N]</t>
  </si>
  <si>
    <t>TUKEY HSD/KRAMER</t>
  </si>
  <si>
    <t>dÁgostino</t>
  </si>
  <si>
    <t>Deterrminar si los datso presentan distribución Normal</t>
  </si>
  <si>
    <t>group 1</t>
  </si>
  <si>
    <t>group 2</t>
  </si>
  <si>
    <t>mean</t>
  </si>
  <si>
    <t>p-value</t>
  </si>
  <si>
    <t>ANOVA</t>
  </si>
  <si>
    <t>Comparar la resistencia de las 3 casas</t>
  </si>
  <si>
    <t>n</t>
  </si>
  <si>
    <t>TUKEY</t>
  </si>
  <si>
    <t>Ubicar las diferencias</t>
  </si>
  <si>
    <t>Mean</t>
  </si>
  <si>
    <t>Software: Real Statitististics V9 de Feb 2024</t>
  </si>
  <si>
    <t>Standard Error</t>
  </si>
  <si>
    <t>Median</t>
  </si>
  <si>
    <t>Maximum</t>
  </si>
  <si>
    <t>Minimum</t>
  </si>
  <si>
    <t>IQR</t>
  </si>
  <si>
    <t>ANOVA: Single Factor</t>
  </si>
  <si>
    <t>Analisi Hay doff significativas enttre lso tres casas</t>
  </si>
  <si>
    <t>Las difrencais estan entre:</t>
  </si>
  <si>
    <t>casa</t>
  </si>
  <si>
    <t>valor de la diff</t>
  </si>
  <si>
    <t>Descriptive Statistics</t>
  </si>
  <si>
    <t>Shapiro-Wilk Test</t>
  </si>
  <si>
    <t>alpha</t>
  </si>
  <si>
    <t>group</t>
  </si>
  <si>
    <t>ss</t>
  </si>
  <si>
    <t>df</t>
  </si>
  <si>
    <t>q-crit</t>
  </si>
  <si>
    <t>W-stat</t>
  </si>
  <si>
    <t>DESCRIPTION</t>
  </si>
  <si>
    <t>Alpha</t>
  </si>
  <si>
    <t>Group</t>
  </si>
  <si>
    <t>Count</t>
  </si>
  <si>
    <t>Sum</t>
  </si>
  <si>
    <t>Variance</t>
  </si>
  <si>
    <t>SS</t>
  </si>
  <si>
    <t>Std Err</t>
  </si>
  <si>
    <t>Lower</t>
  </si>
  <si>
    <t>Upper</t>
  </si>
  <si>
    <t>Mode</t>
  </si>
  <si>
    <t>normal</t>
  </si>
  <si>
    <t>Standard Deviation</t>
  </si>
  <si>
    <t>Q TEST</t>
  </si>
  <si>
    <t>Sample Variance</t>
  </si>
  <si>
    <t>d'Agostino-Pearson</t>
  </si>
  <si>
    <t>std err</t>
  </si>
  <si>
    <t>q-stat</t>
  </si>
  <si>
    <t>lower</t>
  </si>
  <si>
    <t>upper</t>
  </si>
  <si>
    <t>mean-crit</t>
  </si>
  <si>
    <t>Cohen d</t>
  </si>
  <si>
    <t>Kurtosis</t>
  </si>
  <si>
    <t>Skewness</t>
  </si>
  <si>
    <t>DA-stat</t>
  </si>
  <si>
    <t>Sources</t>
  </si>
  <si>
    <t>MS</t>
  </si>
  <si>
    <t>F</t>
  </si>
  <si>
    <t>P value</t>
  </si>
  <si>
    <t>Eta-sq</t>
  </si>
  <si>
    <t>RMSSE</t>
  </si>
  <si>
    <t>Omega Sq</t>
  </si>
  <si>
    <t>Range</t>
  </si>
  <si>
    <t>Between Groups</t>
  </si>
  <si>
    <t>Within Groups</t>
  </si>
  <si>
    <t>Total</t>
  </si>
  <si>
    <t>Geometric Mean</t>
  </si>
  <si>
    <t>Harmonic Mean</t>
  </si>
  <si>
    <t>AAD</t>
  </si>
  <si>
    <t>MAD</t>
  </si>
  <si>
    <t>6. OBJETIVOS GENERAL Y ESPECÍFICOS</t>
  </si>
  <si>
    <t>6.1. OBJETIVO GENERAL</t>
  </si>
  <si>
    <t>Evaluar la Resistencia compresiva de coronas de molares de zirconio multilayer de tres casas comerciales (upcera, sagemax y zotion).</t>
  </si>
  <si>
    <t>6.2. OBJETIVOS ESPECÍFICOS</t>
  </si>
  <si>
    <r>
      <t>1.</t>
    </r>
    <r>
      <rPr>
        <b/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Aptos"/>
        <family val="2"/>
      </rPr>
      <t>Determinar los valores de la resistencia compresiva de coronas de molares inferiores de zirconio multilayer de las tres casas comerciales obtenidas con una máquina de ensayo mecánico.</t>
    </r>
  </si>
  <si>
    <r>
      <t>2.</t>
    </r>
    <r>
      <rPr>
        <b/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Aptos"/>
        <family val="2"/>
      </rPr>
      <t>Comparar los valores encontrados en el estudio realizado de las tres casas comerciales y determinar cual ofrece la mejor resistencia compresiva en coronas de molares inferiores.</t>
    </r>
  </si>
  <si>
    <r>
      <t>3.</t>
    </r>
    <r>
      <rPr>
        <b/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Aptos"/>
        <family val="2"/>
      </rPr>
      <t>Cuanto equivalen los nw de fuerza obtenidos en la prueba de resistencia compresiva a los mpa que muestran las casas comerciales.</t>
    </r>
  </si>
  <si>
    <r>
      <t>4.</t>
    </r>
    <r>
      <rPr>
        <b/>
        <sz val="7"/>
        <color rgb="FF000000"/>
        <rFont val="Times New Roman"/>
        <family val="1"/>
      </rPr>
      <t xml:space="preserve">    </t>
    </r>
    <r>
      <rPr>
        <sz val="12"/>
        <color rgb="FF000000"/>
        <rFont val="Aptos"/>
        <family val="2"/>
      </rPr>
      <t>Descripción cualitativa en los resultados</t>
    </r>
  </si>
  <si>
    <r>
      <rPr>
        <sz val="8"/>
        <rFont val="Verdana"/>
        <family val="2"/>
      </rPr>
      <t>LABORATORIO DE INVESTIGACION EN BIOMATERIALES UniCIEO</t>
    </r>
  </si>
  <si>
    <r>
      <rPr>
        <sz val="8"/>
        <rFont val="Verdana"/>
        <family val="2"/>
      </rPr>
      <t>Compresiva Zirconia Hibrida Zotion</t>
    </r>
  </si>
  <si>
    <r>
      <rPr>
        <sz val="8"/>
        <color rgb="FF010101"/>
        <rFont val="Verdana"/>
        <family val="2"/>
      </rPr>
      <t xml:space="preserve">Máximo Carga
</t>
    </r>
    <r>
      <rPr>
        <sz val="8"/>
        <color rgb="FF010101"/>
        <rFont val="Verdana"/>
        <family val="2"/>
      </rPr>
      <t>[N]</t>
    </r>
  </si>
  <si>
    <r>
      <rPr>
        <sz val="8"/>
        <color rgb="FF010101"/>
        <rFont val="Verdana"/>
        <family val="2"/>
      </rPr>
      <t>Media</t>
    </r>
  </si>
  <si>
    <r>
      <rPr>
        <sz val="8"/>
        <color rgb="FF010101"/>
        <rFont val="Verdana"/>
        <family val="2"/>
      </rPr>
      <t>Mediana</t>
    </r>
  </si>
  <si>
    <r>
      <rPr>
        <sz val="8"/>
        <color rgb="FF010101"/>
        <rFont val="Verdana"/>
        <family val="2"/>
      </rPr>
      <t>Máximo</t>
    </r>
  </si>
  <si>
    <r>
      <rPr>
        <sz val="8"/>
        <color rgb="FF010101"/>
        <rFont val="Verdana"/>
        <family val="2"/>
      </rPr>
      <t>Mínimo</t>
    </r>
  </si>
  <si>
    <r>
      <rPr>
        <sz val="8"/>
        <color rgb="FF010101"/>
        <rFont val="Verdana"/>
        <family val="2"/>
      </rPr>
      <t xml:space="preserve">Desviación
</t>
    </r>
    <r>
      <rPr>
        <sz val="8"/>
        <color rgb="FF010101"/>
        <rFont val="Verdana"/>
        <family val="2"/>
      </rPr>
      <t>estándar</t>
    </r>
  </si>
  <si>
    <r>
      <rPr>
        <sz val="8"/>
        <color rgb="FF010101"/>
        <rFont val="Verdana"/>
        <family val="2"/>
      </rPr>
      <t xml:space="preserve">Coeficiente
</t>
    </r>
    <r>
      <rPr>
        <sz val="8"/>
        <color rgb="FF010101"/>
        <rFont val="Verdana"/>
        <family val="2"/>
      </rPr>
      <t>de variación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</si>
</sst>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0000"/>
    <numFmt numFmtId="165" formatCode="0.0000"/>
    <numFmt numFmtId="166" formatCode="0.000"/>
  </numFmts>
  <fonts count="13">
    <font>
      <sz val="10"/>
      <color rgb="FF000000"/>
      <name val="Times New Roman"/>
      <charset val="204"/>
    </font>
    <font>
      <sz val="8"/>
      <name val="Verdana"/>
      <family val="2"/>
    </font>
    <font>
      <sz val="8"/>
      <color rgb="FF010101"/>
      <name val="Verdana"/>
      <family val="2"/>
    </font>
    <font>
      <sz val="10"/>
      <color rgb="FF000000"/>
      <name val="Times New Roman"/>
      <family val="1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0F4761"/>
      <name val="Aptos Display"/>
      <family val="2"/>
    </font>
    <font>
      <b/>
      <sz val="14"/>
      <color rgb="FF000000"/>
      <name val="Aptos"/>
      <family val="2"/>
    </font>
    <font>
      <b/>
      <sz val="7"/>
      <color rgb="FF000000"/>
      <name val="Times New Roman"/>
      <family val="1"/>
    </font>
    <font>
      <sz val="12"/>
      <color rgb="FF000000"/>
      <name val="Aptos"/>
      <family val="2"/>
    </font>
    <font>
      <i/>
      <sz val="10"/>
      <color rgb="FF000000"/>
      <name val="Times New Roman"/>
      <family val="1"/>
    </font>
    <font>
      <sz val="10"/>
      <color rgb="FFFF0000"/>
      <name val="Times New Roman"/>
      <family val="1"/>
    </font>
    <font>
      <b/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EBE9D7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ACA899"/>
      </left>
      <right style="thin">
        <color rgb="FFACA899"/>
      </right>
      <top style="thin">
        <color rgb="FFACA899"/>
      </top>
      <bottom style="thin">
        <color rgb="FFACA899"/>
      </bottom>
      <diagonal/>
    </border>
    <border>
      <left style="thin">
        <color rgb="FFACA899"/>
      </left>
      <right/>
      <top style="thin">
        <color rgb="FFACA899"/>
      </top>
      <bottom style="thin">
        <color rgb="FFACA89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8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 wrapText="1" indent="9"/>
    </xf>
    <xf numFmtId="0" fontId="1" fillId="0" borderId="0" xfId="0" applyFont="1" applyAlignment="1">
      <alignment horizontal="left" vertical="top" wrapText="1" indent="18"/>
    </xf>
    <xf numFmtId="0" fontId="0" fillId="2" borderId="1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center" vertical="top" wrapText="1"/>
    </xf>
    <xf numFmtId="1" fontId="2" fillId="2" borderId="1" xfId="0" applyNumberFormat="1" applyFont="1" applyFill="1" applyBorder="1" applyAlignment="1">
      <alignment horizontal="right" vertical="top" indent="1" shrinkToFit="1"/>
    </xf>
    <xf numFmtId="0" fontId="0" fillId="0" borderId="1" xfId="0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right" vertical="top" indent="13" shrinkToFit="1"/>
    </xf>
    <xf numFmtId="1" fontId="2" fillId="2" borderId="1" xfId="0" applyNumberFormat="1" applyFont="1" applyFill="1" applyBorder="1" applyAlignment="1">
      <alignment horizontal="right" vertical="top" indent="2" shrinkToFit="1"/>
    </xf>
    <xf numFmtId="0" fontId="1" fillId="2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2" borderId="1" xfId="1" applyFill="1" applyBorder="1" applyAlignment="1">
      <alignment horizontal="left" vertical="top" wrapText="1"/>
    </xf>
    <xf numFmtId="0" fontId="3" fillId="2" borderId="2" xfId="1" applyFill="1" applyBorder="1" applyAlignment="1">
      <alignment horizontal="center" vertical="top" wrapText="1"/>
    </xf>
    <xf numFmtId="0" fontId="3" fillId="0" borderId="0" xfId="1" applyAlignment="1">
      <alignment horizontal="left" vertical="top"/>
    </xf>
    <xf numFmtId="1" fontId="2" fillId="2" borderId="1" xfId="1" applyNumberFormat="1" applyFont="1" applyFill="1" applyBorder="1" applyAlignment="1">
      <alignment horizontal="right" vertical="top" indent="1" shrinkToFit="1"/>
    </xf>
    <xf numFmtId="0" fontId="3" fillId="0" borderId="1" xfId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right" vertical="top" indent="13" shrinkToFit="1"/>
    </xf>
    <xf numFmtId="1" fontId="2" fillId="2" borderId="1" xfId="1" applyNumberFormat="1" applyFont="1" applyFill="1" applyBorder="1" applyAlignment="1">
      <alignment horizontal="right" vertical="top" indent="2" shrinkToFit="1"/>
    </xf>
    <xf numFmtId="0" fontId="1" fillId="2" borderId="1" xfId="1" applyFont="1" applyFill="1" applyBorder="1" applyAlignment="1">
      <alignment horizontal="left" vertical="top" wrapText="1" indent="1"/>
    </xf>
    <xf numFmtId="0" fontId="3" fillId="2" borderId="1" xfId="1" applyFill="1" applyBorder="1" applyAlignment="1">
      <alignment horizontal="left" vertical="top" wrapText="1" indent="1"/>
    </xf>
    <xf numFmtId="0" fontId="3" fillId="0" borderId="1" xfId="1" applyBorder="1" applyAlignment="1">
      <alignment horizontal="left" vertical="top" wrapText="1"/>
    </xf>
    <xf numFmtId="0" fontId="2" fillId="2" borderId="2" xfId="1" applyFont="1" applyFill="1" applyBorder="1" applyAlignment="1">
      <alignment horizontal="center" vertical="top" wrapText="1"/>
    </xf>
    <xf numFmtId="164" fontId="2" fillId="0" borderId="2" xfId="0" applyNumberFormat="1" applyFont="1" applyBorder="1" applyAlignment="1">
      <alignment vertical="top" shrinkToFit="1"/>
    </xf>
    <xf numFmtId="0" fontId="2" fillId="2" borderId="2" xfId="0" applyFont="1" applyFill="1" applyBorder="1" applyAlignment="1">
      <alignment horizontal="center" vertical="top" wrapText="1"/>
    </xf>
    <xf numFmtId="164" fontId="2" fillId="0" borderId="2" xfId="1" applyNumberFormat="1" applyFont="1" applyBorder="1" applyAlignment="1">
      <alignment horizontal="right" vertical="top" shrinkToFit="1"/>
    </xf>
    <xf numFmtId="164" fontId="2" fillId="0" borderId="2" xfId="1" applyNumberFormat="1" applyFont="1" applyBorder="1" applyAlignment="1">
      <alignment vertical="top" shrinkToFit="1"/>
    </xf>
    <xf numFmtId="0" fontId="2" fillId="2" borderId="2" xfId="1" applyFont="1" applyFill="1" applyBorder="1" applyAlignment="1">
      <alignment vertical="top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indent="5"/>
    </xf>
    <xf numFmtId="0" fontId="3" fillId="0" borderId="3" xfId="1" applyBorder="1" applyAlignment="1">
      <alignment horizontal="left" vertical="top"/>
    </xf>
    <xf numFmtId="0" fontId="10" fillId="0" borderId="3" xfId="1" applyFont="1" applyBorder="1" applyAlignment="1">
      <alignment horizontal="center" vertical="top"/>
    </xf>
    <xf numFmtId="164" fontId="3" fillId="0" borderId="0" xfId="1" applyNumberFormat="1" applyAlignment="1">
      <alignment horizontal="left" vertical="top"/>
    </xf>
    <xf numFmtId="0" fontId="3" fillId="0" borderId="3" xfId="1" applyBorder="1" applyAlignment="1">
      <alignment horizontal="right" vertical="top"/>
    </xf>
    <xf numFmtId="0" fontId="3" fillId="0" borderId="4" xfId="1" applyBorder="1" applyAlignment="1">
      <alignment horizontal="left" vertical="top"/>
    </xf>
    <xf numFmtId="0" fontId="10" fillId="0" borderId="5" xfId="1" applyFont="1" applyBorder="1" applyAlignment="1">
      <alignment horizontal="center" vertical="top"/>
    </xf>
    <xf numFmtId="0" fontId="3" fillId="0" borderId="6" xfId="1" applyBorder="1" applyAlignment="1">
      <alignment horizontal="left" vertical="top"/>
    </xf>
    <xf numFmtId="2" fontId="3" fillId="0" borderId="6" xfId="1" applyNumberFormat="1" applyBorder="1" applyAlignment="1">
      <alignment horizontal="right" vertical="top"/>
    </xf>
    <xf numFmtId="0" fontId="3" fillId="0" borderId="6" xfId="1" applyBorder="1" applyAlignment="1">
      <alignment horizontal="right" vertical="top"/>
    </xf>
    <xf numFmtId="165" fontId="3" fillId="0" borderId="6" xfId="1" applyNumberFormat="1" applyBorder="1" applyAlignment="1">
      <alignment horizontal="right" vertical="top"/>
    </xf>
    <xf numFmtId="165" fontId="11" fillId="0" borderId="6" xfId="1" applyNumberFormat="1" applyFont="1" applyBorder="1" applyAlignment="1">
      <alignment horizontal="right" vertical="top"/>
    </xf>
    <xf numFmtId="2" fontId="3" fillId="0" borderId="4" xfId="1" applyNumberFormat="1" applyBorder="1" applyAlignment="1">
      <alignment horizontal="right" vertical="top"/>
    </xf>
    <xf numFmtId="2" fontId="3" fillId="0" borderId="0" xfId="1" applyNumberFormat="1" applyAlignment="1">
      <alignment horizontal="right" vertical="top"/>
    </xf>
    <xf numFmtId="2" fontId="3" fillId="0" borderId="3" xfId="1" applyNumberFormat="1" applyBorder="1" applyAlignment="1">
      <alignment horizontal="right" vertical="top"/>
    </xf>
    <xf numFmtId="166" fontId="3" fillId="0" borderId="4" xfId="1" applyNumberFormat="1" applyBorder="1" applyAlignment="1">
      <alignment horizontal="right" vertical="top"/>
    </xf>
    <xf numFmtId="166" fontId="11" fillId="0" borderId="0" xfId="1" applyNumberFormat="1" applyFont="1" applyAlignment="1">
      <alignment horizontal="right" vertical="top"/>
    </xf>
    <xf numFmtId="166" fontId="11" fillId="0" borderId="3" xfId="1" applyNumberFormat="1" applyFont="1" applyBorder="1" applyAlignment="1">
      <alignment horizontal="right" vertical="top"/>
    </xf>
    <xf numFmtId="0" fontId="0" fillId="0" borderId="0" xfId="0"/>
    <xf numFmtId="0" fontId="0" fillId="4" borderId="0" xfId="0" applyFill="1" applyAlignment="1">
      <alignment horizontal="left" vertical="top"/>
    </xf>
    <xf numFmtId="0" fontId="3" fillId="4" borderId="0" xfId="1" applyFill="1" applyAlignment="1">
      <alignment horizontal="left" vertical="top"/>
    </xf>
    <xf numFmtId="2" fontId="3" fillId="4" borderId="0" xfId="1" applyNumberFormat="1" applyFill="1" applyAlignment="1">
      <alignment horizontal="right" vertical="top"/>
    </xf>
    <xf numFmtId="0" fontId="3" fillId="4" borderId="3" xfId="1" applyFill="1" applyBorder="1" applyAlignment="1">
      <alignment horizontal="left" vertical="top"/>
    </xf>
    <xf numFmtId="2" fontId="3" fillId="4" borderId="3" xfId="1" applyNumberFormat="1" applyFill="1" applyBorder="1" applyAlignment="1">
      <alignment horizontal="right" vertical="top"/>
    </xf>
    <xf numFmtId="0" fontId="12" fillId="0" borderId="0" xfId="0" applyFont="1" applyAlignment="1">
      <alignment horizontal="center"/>
    </xf>
    <xf numFmtId="0" fontId="3" fillId="3" borderId="6" xfId="1" applyFill="1" applyBorder="1" applyAlignment="1">
      <alignment horizontal="center" vertical="top" wrapText="1"/>
    </xf>
    <xf numFmtId="0" fontId="0" fillId="3" borderId="6" xfId="0" applyFill="1" applyBorder="1" applyAlignment="1">
      <alignment horizontal="center" vertical="top" wrapText="1"/>
    </xf>
    <xf numFmtId="0" fontId="0" fillId="4" borderId="0" xfId="0" applyFill="1" applyAlignment="1">
      <alignment horizontal="center" vertical="top"/>
    </xf>
  </cellXfs>
  <cellStyles count="2">
    <cellStyle name="Normal" xfId="0" builtinId="0"/>
    <cellStyle name="Normal 2" xfId="1" xr:uid="{9AB92B26-4B1B-438D-B071-B38AB5E2F886}"/>
  </cellStyles>
  <dxfs count="0"/>
  <tableStyles count="1" defaultTableStyle="TableStyleMedium9" defaultPivotStyle="PivotStyleLight16">
    <tableStyle name="Invisible" pivot="0" table="0" count="0" xr9:uid="{1B63F969-FF37-4782-87C7-D6C301CD890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</cx:chartData>
  <cx:chart>
    <cx:title pos="t" align="ctr" overlay="0">
      <cx:tx>
        <cx:txData>
          <cx:v>Evaluación la Resistencia compresiva de coronas de molares de zirconio multilayer de tres casas comerciales (upcera, sagemax y zotion).</cx:v>
        </cx:txData>
      </cx:tx>
      <cx:txPr>
        <a:bodyPr spcFirstLastPara="1" vertOverflow="ellipsis" horzOverflow="overflow" wrap="square" lIns="0" tIns="0" rIns="0" bIns="0" anchor="ctr" anchorCtr="1"/>
        <a:lstStyle/>
        <a:p>
          <a:r>
            <a:rPr lang="es-CO" sz="1200">
              <a:effectLst/>
            </a:rPr>
            <a:t>Evaluación la Resistencia compresiva de coronas de molares de zirconio multilayer de tres casas comerciales (upcera, sagemax y zotion).</a:t>
          </a:r>
        </a:p>
      </cx:txPr>
    </cx:title>
    <cx:plotArea>
      <cx:plotAreaRegion>
        <cx:series layoutId="boxWhisker" uniqueId="{660C6F74-C409-461E-B316-0CF07037865A}">
          <cx:tx>
            <cx:txData>
              <cx:f>_xlchart.v1.0</cx:f>
              <cx:v>VIVID Carga [N]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E1ACA90E-2260-4A41-8F0F-ECD6987389FA}">
          <cx:tx>
            <cx:txData>
              <cx:f>_xlchart.v1.2</cx:f>
              <cx:v>Zotion CargaV[N]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8461307B-7C02-4260-8096-870636D7DE5B}">
          <cx:tx>
            <cx:txData>
              <cx:f>_xlchart.v1.4</cx:f>
              <cx:v>Segemax Carga [N]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 max="1800" min="850"/>
        <cx:title>
          <cx:tx>
            <cx:txData>
              <cx:v>CARAGA N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/>
                </a:rPr>
                <a:t>CARAGA N</a:t>
              </a:r>
            </a:p>
          </cx:txPr>
        </cx:title>
        <cx:tickLabels/>
        <cx:numFmt formatCode="0" sourceLinked="0"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t" align="ctr" overlay="0">
      <cx:txPr>
        <a:bodyPr vertOverflow="overflow" horzOverflow="overflow" wrap="square" lIns="0" tIns="0" rIns="0" bIns="0"/>
        <a:lstStyle/>
        <a:p>
          <a:pPr algn="ctr" rtl="0">
            <a:defRPr sz="1200" b="0" i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/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0</xdr:rowOff>
    </xdr:from>
    <xdr:to>
      <xdr:col>14</xdr:col>
      <xdr:colOff>504825</xdr:colOff>
      <xdr:row>24</xdr:row>
      <xdr:rowOff>152400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637565BE-B07B-4D1C-9759-C526BD3E82B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4993334</xdr:colOff>
      <xdr:row>0</xdr:row>
      <xdr:rowOff>0</xdr:rowOff>
    </xdr:from>
    <xdr:ext cx="1679850" cy="170318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679850" cy="170318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505313</xdr:colOff>
      <xdr:row>1</xdr:row>
      <xdr:rowOff>42916</xdr:rowOff>
    </xdr:from>
    <xdr:ext cx="2641600" cy="22923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9413200" y="944437"/>
          <a:ext cx="2641600" cy="229235"/>
        </a:xfrm>
        <a:custGeom>
          <a:avLst/>
          <a:gdLst/>
          <a:ahLst/>
          <a:cxnLst/>
          <a:rect l="0" t="0" r="0" b="0"/>
          <a:pathLst>
            <a:path w="2641600" h="229235">
              <a:moveTo>
                <a:pt x="2641027" y="0"/>
              </a:moveTo>
              <a:lnTo>
                <a:pt x="0" y="0"/>
              </a:lnTo>
              <a:lnTo>
                <a:pt x="0" y="228871"/>
              </a:lnTo>
              <a:lnTo>
                <a:pt x="2641027" y="228871"/>
              </a:lnTo>
              <a:lnTo>
                <a:pt x="2641027" y="0"/>
              </a:lnTo>
              <a:close/>
            </a:path>
          </a:pathLst>
        </a:custGeom>
        <a:solidFill>
          <a:srgbClr val="FFFFFF"/>
        </a:solidFill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632465</xdr:colOff>
      <xdr:row>23</xdr:row>
      <xdr:rowOff>0</xdr:rowOff>
    </xdr:from>
    <xdr:ext cx="6621780" cy="0"/>
    <xdr:grpSp>
      <xdr:nvGrpSpPr>
        <xdr:cNvPr id="2" name="Group 3">
          <a:extLst>
            <a:ext uri="{FF2B5EF4-FFF2-40B4-BE49-F238E27FC236}">
              <a16:creationId xmlns:a16="http://schemas.microsoft.com/office/drawing/2014/main" id="{A3A049B5-6C5B-49C7-9E4C-E636F72EBA0B}"/>
            </a:ext>
          </a:extLst>
        </xdr:cNvPr>
        <xdr:cNvGrpSpPr/>
      </xdr:nvGrpSpPr>
      <xdr:grpSpPr>
        <a:xfrm>
          <a:off x="632465" y="6210300"/>
          <a:ext cx="6621780" cy="0"/>
          <a:chOff x="0" y="0"/>
          <a:chExt cx="6621780" cy="0"/>
        </a:xfrm>
      </xdr:grpSpPr>
      <xdr:sp macro="" textlink="">
        <xdr:nvSpPr>
          <xdr:cNvPr id="3" name="Shape 4">
            <a:extLst>
              <a:ext uri="{FF2B5EF4-FFF2-40B4-BE49-F238E27FC236}">
                <a16:creationId xmlns:a16="http://schemas.microsoft.com/office/drawing/2014/main" id="{EDC23C79-8903-FFC7-B728-D6DC7B4078DA}"/>
              </a:ext>
            </a:extLst>
          </xdr:cNvPr>
          <xdr:cNvSpPr/>
        </xdr:nvSpPr>
        <xdr:spPr>
          <a:xfrm>
            <a:off x="0" y="0"/>
            <a:ext cx="1327150" cy="0"/>
          </a:xfrm>
          <a:custGeom>
            <a:avLst/>
            <a:gdLst/>
            <a:ahLst/>
            <a:cxnLst/>
            <a:rect l="0" t="0" r="0" b="0"/>
            <a:pathLst>
              <a:path w="1327150">
                <a:moveTo>
                  <a:pt x="0" y="0"/>
                </a:moveTo>
                <a:lnTo>
                  <a:pt x="1327072" y="0"/>
                </a:lnTo>
              </a:path>
            </a:pathLst>
          </a:custGeom>
          <a:ln w="3175">
            <a:solidFill>
              <a:srgbClr val="ACA899"/>
            </a:solidFill>
          </a:ln>
        </xdr:spPr>
      </xdr:sp>
      <xdr:sp macro="" textlink="">
        <xdr:nvSpPr>
          <xdr:cNvPr id="4" name="Shape 5">
            <a:extLst>
              <a:ext uri="{FF2B5EF4-FFF2-40B4-BE49-F238E27FC236}">
                <a16:creationId xmlns:a16="http://schemas.microsoft.com/office/drawing/2014/main" id="{26DD1D55-CAE8-60DF-1DB8-DC464DD89FEB}"/>
              </a:ext>
            </a:extLst>
          </xdr:cNvPr>
          <xdr:cNvSpPr/>
        </xdr:nvSpPr>
        <xdr:spPr>
          <a:xfrm>
            <a:off x="1324254" y="0"/>
            <a:ext cx="2651760" cy="0"/>
          </a:xfrm>
          <a:custGeom>
            <a:avLst/>
            <a:gdLst/>
            <a:ahLst/>
            <a:cxnLst/>
            <a:rect l="0" t="0" r="0" b="0"/>
            <a:pathLst>
              <a:path w="2651760">
                <a:moveTo>
                  <a:pt x="0" y="0"/>
                </a:moveTo>
                <a:lnTo>
                  <a:pt x="2651333" y="0"/>
                </a:lnTo>
              </a:path>
            </a:pathLst>
          </a:custGeom>
          <a:ln w="3175">
            <a:solidFill>
              <a:srgbClr val="ACA899"/>
            </a:solidFill>
          </a:ln>
        </xdr:spPr>
      </xdr:sp>
      <xdr:sp macro="" textlink="">
        <xdr:nvSpPr>
          <xdr:cNvPr id="5" name="Shape 6">
            <a:extLst>
              <a:ext uri="{FF2B5EF4-FFF2-40B4-BE49-F238E27FC236}">
                <a16:creationId xmlns:a16="http://schemas.microsoft.com/office/drawing/2014/main" id="{B52993F4-12C6-2623-6199-4C2CC988E590}"/>
              </a:ext>
            </a:extLst>
          </xdr:cNvPr>
          <xdr:cNvSpPr/>
        </xdr:nvSpPr>
        <xdr:spPr>
          <a:xfrm>
            <a:off x="3969932" y="0"/>
            <a:ext cx="2651760" cy="0"/>
          </a:xfrm>
          <a:custGeom>
            <a:avLst/>
            <a:gdLst/>
            <a:ahLst/>
            <a:cxnLst/>
            <a:rect l="0" t="0" r="0" b="0"/>
            <a:pathLst>
              <a:path w="2651760">
                <a:moveTo>
                  <a:pt x="0" y="0"/>
                </a:moveTo>
                <a:lnTo>
                  <a:pt x="2651333" y="0"/>
                </a:lnTo>
              </a:path>
            </a:pathLst>
          </a:custGeom>
          <a:ln w="3175">
            <a:solidFill>
              <a:srgbClr val="ACA899"/>
            </a:solidFill>
          </a:ln>
        </xdr:spPr>
      </xdr:sp>
    </xdr:grp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anamericana\AppData\Roaming\Microsoft\Complementos\XRealStats.xlam" TargetMode="External"/><Relationship Id="rId1" Type="http://schemas.openxmlformats.org/officeDocument/2006/relationships/externalLinkPath" Target="/Users/panamericana/AppData/Roaming/Microsoft/Complemento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XRealStats"/>
    </sheetNames>
    <definedNames>
      <definedName name="DAGOSTINO"/>
      <definedName name="DPTEST"/>
      <definedName name="IQR"/>
      <definedName name="MAD"/>
      <definedName name="QCRIT"/>
      <definedName name="QDIST"/>
      <definedName name="SHAPIRO"/>
      <definedName name="SW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A0DF2-0482-474F-94F2-291D3385B57A}">
  <dimension ref="A1:M18"/>
  <sheetViews>
    <sheetView tabSelected="1" workbookViewId="0">
      <selection activeCell="C9" sqref="C9"/>
    </sheetView>
  </sheetViews>
  <sheetFormatPr defaultColWidth="12" defaultRowHeight="12.75"/>
  <cols>
    <col min="1" max="1" width="38.1640625" style="48" customWidth="1"/>
    <col min="2" max="2" width="1.5" style="48" customWidth="1"/>
    <col min="3" max="3" width="42.83203125" style="48" customWidth="1"/>
    <col min="4" max="4" width="6.1640625" customWidth="1"/>
    <col min="9" max="9" width="4.83203125" customWidth="1"/>
    <col min="10" max="10" width="17.1640625" customWidth="1"/>
    <col min="11" max="11" width="18" bestFit="1" customWidth="1"/>
  </cols>
  <sheetData>
    <row r="1" spans="1:13">
      <c r="A1" s="54" t="s">
        <v>0</v>
      </c>
      <c r="B1" s="54"/>
      <c r="C1" s="54" t="s">
        <v>1</v>
      </c>
    </row>
    <row r="2" spans="1:13" ht="13.5" thickBot="1">
      <c r="A2" s="48" t="s">
        <v>2</v>
      </c>
      <c r="C2" s="48" t="s">
        <v>3</v>
      </c>
      <c r="E2" s="55"/>
      <c r="F2" s="55" t="s">
        <v>4</v>
      </c>
      <c r="G2" s="55" t="s">
        <v>5</v>
      </c>
      <c r="H2" s="55" t="s">
        <v>6</v>
      </c>
      <c r="I2" s="13"/>
      <c r="J2" s="13" t="s">
        <v>7</v>
      </c>
      <c r="K2" s="13"/>
      <c r="L2" s="13"/>
      <c r="M2" s="13"/>
    </row>
    <row r="3" spans="1:13" ht="13.5" thickTop="1">
      <c r="A3" s="48" t="s">
        <v>8</v>
      </c>
      <c r="C3" s="48" t="s">
        <v>9</v>
      </c>
      <c r="E3" s="56"/>
      <c r="F3" s="55"/>
      <c r="G3" s="56"/>
      <c r="H3" s="55"/>
      <c r="I3" s="13"/>
      <c r="J3" s="36" t="s">
        <v>10</v>
      </c>
      <c r="K3" s="36" t="s">
        <v>11</v>
      </c>
      <c r="L3" s="36" t="s">
        <v>12</v>
      </c>
      <c r="M3" s="36" t="s">
        <v>13</v>
      </c>
    </row>
    <row r="4" spans="1:13">
      <c r="A4" s="48" t="s">
        <v>14</v>
      </c>
      <c r="C4" s="48" t="s">
        <v>15</v>
      </c>
      <c r="E4" s="37" t="s">
        <v>16</v>
      </c>
      <c r="F4" s="39">
        <v>16</v>
      </c>
      <c r="G4" s="39">
        <v>16</v>
      </c>
      <c r="H4" s="39">
        <v>16</v>
      </c>
      <c r="I4" s="13"/>
      <c r="J4" s="35" t="s">
        <v>4</v>
      </c>
      <c r="K4" s="35" t="s">
        <v>5</v>
      </c>
      <c r="L4" s="42">
        <v>102.24383749999993</v>
      </c>
      <c r="M4" s="45">
        <v>0.35634711040914968</v>
      </c>
    </row>
    <row r="5" spans="1:13">
      <c r="A5" s="48" t="s">
        <v>17</v>
      </c>
      <c r="C5" s="48" t="s">
        <v>18</v>
      </c>
      <c r="E5" s="37" t="s">
        <v>19</v>
      </c>
      <c r="F5" s="38">
        <v>1330.6462393750001</v>
      </c>
      <c r="G5" s="38">
        <v>1228.4024018750001</v>
      </c>
      <c r="H5" s="38">
        <v>1560.2613818750003</v>
      </c>
      <c r="I5" s="13"/>
      <c r="J5" s="13" t="s">
        <v>4</v>
      </c>
      <c r="K5" s="13" t="s">
        <v>6</v>
      </c>
      <c r="L5" s="43">
        <v>229.61514250000027</v>
      </c>
      <c r="M5" s="46">
        <v>8.8275946202140965E-3</v>
      </c>
    </row>
    <row r="6" spans="1:13">
      <c r="A6" s="48" t="s">
        <v>20</v>
      </c>
      <c r="E6" s="37" t="s">
        <v>21</v>
      </c>
      <c r="F6" s="38">
        <v>47.969973719300746</v>
      </c>
      <c r="G6" s="38">
        <v>61.604407952746918</v>
      </c>
      <c r="H6" s="38">
        <v>45.377809360566076</v>
      </c>
      <c r="I6" s="13"/>
      <c r="J6" s="31" t="s">
        <v>5</v>
      </c>
      <c r="K6" s="31" t="s">
        <v>6</v>
      </c>
      <c r="L6" s="44">
        <v>331.8589800000002</v>
      </c>
      <c r="M6" s="47">
        <v>1.3850489443023584E-4</v>
      </c>
    </row>
    <row r="7" spans="1:13">
      <c r="E7" s="37" t="s">
        <v>22</v>
      </c>
      <c r="F7" s="38">
        <v>1226.7083750000002</v>
      </c>
      <c r="G7" s="38">
        <v>1220.0974150000002</v>
      </c>
      <c r="H7" s="38">
        <v>1512.7017799999999</v>
      </c>
      <c r="I7" s="13"/>
      <c r="J7" s="13"/>
      <c r="K7" s="13"/>
      <c r="L7" s="13"/>
      <c r="M7" s="13"/>
    </row>
    <row r="8" spans="1:13">
      <c r="E8" s="37" t="s">
        <v>23</v>
      </c>
      <c r="F8" s="38">
        <v>1688.9063699999999</v>
      </c>
      <c r="G8" s="38">
        <v>1741.8298299999999</v>
      </c>
      <c r="H8" s="38">
        <v>1792.1097400000001</v>
      </c>
      <c r="I8" s="13"/>
      <c r="J8" s="13"/>
      <c r="K8" s="13"/>
      <c r="L8" s="13"/>
      <c r="M8" s="13"/>
    </row>
    <row r="9" spans="1:13">
      <c r="E9" s="37" t="s">
        <v>24</v>
      </c>
      <c r="F9" s="38">
        <v>1032.25305</v>
      </c>
      <c r="G9" s="38">
        <v>886.90399000000002</v>
      </c>
      <c r="H9" s="38">
        <v>1295.88599</v>
      </c>
      <c r="I9" s="13"/>
      <c r="J9" s="13"/>
      <c r="K9" s="13"/>
      <c r="L9" s="13"/>
      <c r="M9" s="13"/>
    </row>
    <row r="10" spans="1:13">
      <c r="E10" s="37" t="s">
        <v>25</v>
      </c>
      <c r="F10" s="38">
        <v>286.48654500000021</v>
      </c>
      <c r="G10" s="38">
        <v>315.93922499999996</v>
      </c>
      <c r="H10" s="38">
        <v>319.54727500000013</v>
      </c>
      <c r="I10" s="13"/>
      <c r="J10" s="13"/>
      <c r="K10" s="13"/>
      <c r="L10" s="13"/>
      <c r="M10" s="13"/>
    </row>
    <row r="11" spans="1:13">
      <c r="E11" s="37" t="s">
        <v>13</v>
      </c>
      <c r="F11" s="40">
        <v>0.41650211475683274</v>
      </c>
      <c r="G11" s="40">
        <v>0.56908839411662826</v>
      </c>
      <c r="H11" s="40">
        <v>6.5928319066684171E-2</v>
      </c>
      <c r="I11" s="13"/>
      <c r="J11" s="13"/>
      <c r="K11" s="13"/>
      <c r="L11" s="13"/>
      <c r="M11" s="13"/>
    </row>
    <row r="12" spans="1:13">
      <c r="E12" s="37" t="s">
        <v>26</v>
      </c>
      <c r="F12" s="41">
        <v>1.6614804178608663E-4</v>
      </c>
      <c r="G12" s="40"/>
      <c r="H12" s="40"/>
      <c r="I12" s="13"/>
      <c r="J12" s="13"/>
      <c r="K12" s="13"/>
      <c r="L12" s="13"/>
      <c r="M12" s="13"/>
    </row>
    <row r="14" spans="1:13">
      <c r="E14" s="49" t="s">
        <v>27</v>
      </c>
      <c r="F14" s="49"/>
      <c r="G14" s="49"/>
      <c r="H14" s="49"/>
    </row>
    <row r="15" spans="1:13">
      <c r="E15" s="49" t="s">
        <v>28</v>
      </c>
      <c r="F15" s="49"/>
      <c r="G15" s="49"/>
      <c r="H15" s="49"/>
    </row>
    <row r="16" spans="1:13">
      <c r="E16" s="57" t="s">
        <v>29</v>
      </c>
      <c r="F16" s="57"/>
      <c r="G16" s="49" t="s">
        <v>30</v>
      </c>
      <c r="H16" s="49"/>
    </row>
    <row r="17" spans="5:8">
      <c r="E17" s="50" t="s">
        <v>4</v>
      </c>
      <c r="F17" s="50" t="s">
        <v>6</v>
      </c>
      <c r="G17" s="51">
        <v>229.61514250000027</v>
      </c>
      <c r="H17" s="49"/>
    </row>
    <row r="18" spans="5:8">
      <c r="E18" s="52" t="s">
        <v>5</v>
      </c>
      <c r="F18" s="52" t="s">
        <v>6</v>
      </c>
      <c r="G18" s="53">
        <v>331.8589800000002</v>
      </c>
      <c r="H18" s="49"/>
    </row>
  </sheetData>
  <mergeCells count="5">
    <mergeCell ref="F2:F3"/>
    <mergeCell ref="G2:G3"/>
    <mergeCell ref="E2:E3"/>
    <mergeCell ref="H2:H3"/>
    <mergeCell ref="E16:F1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F3FBF-421B-448B-BD21-7ED63A1D6011}">
  <dimension ref="A1:AJ35"/>
  <sheetViews>
    <sheetView topLeftCell="A4" workbookViewId="0">
      <selection activeCell="H15" sqref="H15"/>
    </sheetView>
  </sheetViews>
  <sheetFormatPr defaultColWidth="9.33203125" defaultRowHeight="12.75"/>
  <cols>
    <col min="1" max="1" width="15.1640625" style="13" customWidth="1"/>
    <col min="2" max="2" width="12.33203125" style="13" bestFit="1" customWidth="1"/>
    <col min="3" max="4" width="9.33203125" style="13"/>
    <col min="5" max="5" width="20.1640625" style="13" bestFit="1" customWidth="1"/>
    <col min="6" max="6" width="17.6640625" style="13" bestFit="1" customWidth="1"/>
    <col min="7" max="7" width="19" style="13" bestFit="1" customWidth="1"/>
    <col min="8" max="8" width="20.1640625" style="13" bestFit="1" customWidth="1"/>
    <col min="9" max="9" width="9.33203125" style="13"/>
    <col min="10" max="10" width="19.1640625" style="13" bestFit="1" customWidth="1"/>
    <col min="11" max="11" width="17.6640625" style="13" bestFit="1" customWidth="1"/>
    <col min="12" max="12" width="19" style="13" bestFit="1" customWidth="1"/>
    <col min="13" max="13" width="20.1640625" style="13" bestFit="1" customWidth="1"/>
    <col min="14" max="18" width="9.33203125" style="13"/>
    <col min="19" max="19" width="11.6640625" style="13" bestFit="1" customWidth="1"/>
    <col min="20" max="20" width="12.1640625" style="13" bestFit="1" customWidth="1"/>
    <col min="21" max="16384" width="9.33203125" style="13"/>
  </cols>
  <sheetData>
    <row r="1" spans="1:36" ht="42">
      <c r="A1" s="21" t="s">
        <v>4</v>
      </c>
      <c r="B1" s="23" t="s">
        <v>5</v>
      </c>
      <c r="C1" s="26" t="s">
        <v>6</v>
      </c>
    </row>
    <row r="2" spans="1:36" ht="17.45" customHeight="1">
      <c r="A2" s="24">
        <v>1207.4888900000001</v>
      </c>
      <c r="B2" s="22">
        <v>1311.9379899999999</v>
      </c>
      <c r="C2" s="25">
        <v>1792.1097400000001</v>
      </c>
      <c r="E2" s="13" t="s">
        <v>31</v>
      </c>
      <c r="J2" s="13" t="s">
        <v>32</v>
      </c>
    </row>
    <row r="3" spans="1:36" ht="17.45" customHeight="1" thickBot="1">
      <c r="A3" s="24">
        <v>1550.8696299999999</v>
      </c>
      <c r="B3" s="22">
        <v>1339.4538600000001</v>
      </c>
      <c r="C3" s="25">
        <v>1315.8631600000001</v>
      </c>
      <c r="AD3" s="13" t="s">
        <v>33</v>
      </c>
      <c r="AE3" s="13">
        <v>0.05</v>
      </c>
    </row>
    <row r="4" spans="1:36" ht="17.45" customHeight="1" thickTop="1">
      <c r="A4" s="24">
        <v>1367.9857199999999</v>
      </c>
      <c r="B4" s="22">
        <v>1741.8298299999999</v>
      </c>
      <c r="C4" s="25">
        <v>1295.88599</v>
      </c>
      <c r="E4" s="32"/>
      <c r="F4" s="32" t="str">
        <f>A1</f>
        <v>VIVID Carga [N]</v>
      </c>
      <c r="G4" s="32" t="str">
        <f t="shared" ref="G4:H4" si="0">B1</f>
        <v>Zotion CargaV[N]</v>
      </c>
      <c r="H4" s="32" t="str">
        <f t="shared" si="0"/>
        <v>Segemax Carga [N]</v>
      </c>
      <c r="J4" s="32"/>
      <c r="K4" s="32" t="str">
        <f>A1</f>
        <v>VIVID Carga [N]</v>
      </c>
      <c r="L4" s="32" t="str">
        <f t="shared" ref="L4:M4" si="1">B1</f>
        <v>Zotion CargaV[N]</v>
      </c>
      <c r="M4" s="32" t="str">
        <f t="shared" si="1"/>
        <v>Segemax Carga [N]</v>
      </c>
      <c r="AA4" s="36" t="s">
        <v>34</v>
      </c>
      <c r="AB4" s="36" t="s">
        <v>12</v>
      </c>
      <c r="AC4" s="36" t="s">
        <v>16</v>
      </c>
      <c r="AD4" s="36" t="s">
        <v>35</v>
      </c>
      <c r="AE4" s="36" t="s">
        <v>36</v>
      </c>
      <c r="AF4" s="36" t="s">
        <v>37</v>
      </c>
    </row>
    <row r="5" spans="1:36" ht="17.45" customHeight="1" thickBot="1">
      <c r="A5" s="24">
        <v>1211.9837600000001</v>
      </c>
      <c r="B5" s="22">
        <v>945.76720999999998</v>
      </c>
      <c r="C5" s="25">
        <v>1477.79187</v>
      </c>
      <c r="E5" s="13" t="s">
        <v>19</v>
      </c>
      <c r="F5" s="33">
        <f>AVERAGE(A2:A17)</f>
        <v>1330.6462393750001</v>
      </c>
      <c r="G5" s="33">
        <f t="shared" ref="G5:H5" si="2">AVERAGE(B2:B17)</f>
        <v>1228.4024018750001</v>
      </c>
      <c r="H5" s="33">
        <f t="shared" si="2"/>
        <v>1560.2613818750003</v>
      </c>
      <c r="J5" s="13" t="s">
        <v>38</v>
      </c>
      <c r="K5" s="13">
        <f>[1]!SHAPIRO(A2:A17)</f>
        <v>0.91466373918963328</v>
      </c>
      <c r="L5" s="13">
        <f>[1]!SHAPIRO(B2:B17)</f>
        <v>0.94361958848462257</v>
      </c>
      <c r="M5" s="13">
        <f>[1]!SHAPIRO(C2:C17)</f>
        <v>0.89293005789961799</v>
      </c>
      <c r="Q5" s="13" t="s">
        <v>39</v>
      </c>
      <c r="V5" s="13" t="s">
        <v>40</v>
      </c>
      <c r="W5" s="13">
        <v>0.05</v>
      </c>
      <c r="AA5" s="13" t="str">
        <f>A1</f>
        <v>VIVID Carga [N]</v>
      </c>
      <c r="AB5" s="33">
        <f>AVERAGE(A2:A17)</f>
        <v>1330.6462393750001</v>
      </c>
      <c r="AC5" s="13">
        <f>COUNT(A2:A17)</f>
        <v>16</v>
      </c>
      <c r="AD5" s="13">
        <f>DEVSQ(A2:A17)</f>
        <v>552268.410871297</v>
      </c>
    </row>
    <row r="6" spans="1:36" ht="17.45" customHeight="1" thickTop="1">
      <c r="A6" s="24">
        <v>1032.25305</v>
      </c>
      <c r="B6" s="22">
        <v>1585.95679</v>
      </c>
      <c r="C6" s="25">
        <v>1783.7381600000001</v>
      </c>
      <c r="E6" s="13" t="s">
        <v>21</v>
      </c>
      <c r="F6" s="13">
        <f>_xlfn.STDEV.S(A2:A17)/SQRT(COUNT(A2:A17))</f>
        <v>47.969973719300746</v>
      </c>
      <c r="G6" s="13">
        <f t="shared" ref="G6:H6" si="3">_xlfn.STDEV.S(B2:B17)/SQRT(COUNT(B2:B17))</f>
        <v>61.604407952746918</v>
      </c>
      <c r="H6" s="13">
        <f t="shared" si="3"/>
        <v>45.377809360566076</v>
      </c>
      <c r="J6" s="13" t="s">
        <v>13</v>
      </c>
      <c r="K6" s="13">
        <f>[1]!SWTEST(A2:A17)</f>
        <v>0.13837709617092586</v>
      </c>
      <c r="L6" s="13">
        <f>[1]!SWTEST(B2:B17)</f>
        <v>0.39573723203324052</v>
      </c>
      <c r="M6" s="13">
        <f>[1]!SWTEST(C2:C17)</f>
        <v>6.1990254528504818E-2</v>
      </c>
      <c r="Q6" s="36" t="s">
        <v>41</v>
      </c>
      <c r="R6" s="36" t="s">
        <v>42</v>
      </c>
      <c r="S6" s="36" t="s">
        <v>43</v>
      </c>
      <c r="T6" s="36" t="s">
        <v>19</v>
      </c>
      <c r="U6" s="36" t="s">
        <v>44</v>
      </c>
      <c r="V6" s="36" t="s">
        <v>45</v>
      </c>
      <c r="W6" s="36" t="s">
        <v>46</v>
      </c>
      <c r="X6" s="36" t="s">
        <v>47</v>
      </c>
      <c r="Y6" s="36" t="s">
        <v>48</v>
      </c>
      <c r="AA6" s="13" t="str">
        <f>B1</f>
        <v>Zotion CargaV[N]</v>
      </c>
      <c r="AB6" s="33">
        <f>AVERAGE(B2:B17)</f>
        <v>1228.4024018750001</v>
      </c>
      <c r="AC6" s="13">
        <f>COUNT(B2:B17)</f>
        <v>16</v>
      </c>
      <c r="AD6" s="13">
        <f>DEVSQ(B2:B17)</f>
        <v>910824.73901003599</v>
      </c>
    </row>
    <row r="7" spans="1:36" ht="15.2" customHeight="1">
      <c r="A7" s="24">
        <v>1537.0146500000001</v>
      </c>
      <c r="B7" s="22">
        <v>1005.47815</v>
      </c>
      <c r="C7" s="25">
        <v>1343.7876000000001</v>
      </c>
      <c r="E7" s="13" t="s">
        <v>22</v>
      </c>
      <c r="F7" s="33">
        <f>MEDIAN(A2:A17)</f>
        <v>1226.7083750000002</v>
      </c>
      <c r="G7" s="33">
        <f t="shared" ref="G7:H7" si="4">MEDIAN(B2:B17)</f>
        <v>1220.0974150000002</v>
      </c>
      <c r="H7" s="33">
        <f t="shared" si="4"/>
        <v>1512.7017799999999</v>
      </c>
      <c r="J7" s="13" t="s">
        <v>33</v>
      </c>
      <c r="K7" s="13">
        <v>0.05</v>
      </c>
      <c r="L7" s="13">
        <v>0.05</v>
      </c>
      <c r="M7" s="13">
        <v>0.05</v>
      </c>
      <c r="Q7" s="13" t="str">
        <f>A1</f>
        <v>VIVID Carga [N]</v>
      </c>
      <c r="R7" s="13">
        <f>COUNT(A2:A17)</f>
        <v>16</v>
      </c>
      <c r="S7" s="33">
        <f>SUM(A2:A17)</f>
        <v>21290.339830000001</v>
      </c>
      <c r="T7" s="33">
        <f>AVERAGE(A2:A17)</f>
        <v>1330.6462393750001</v>
      </c>
      <c r="U7" s="13">
        <f>_xlfn.VAR.S(A2:A17)</f>
        <v>36817.894058086473</v>
      </c>
      <c r="V7" s="13">
        <f>DEVSQ(A2:A17)</f>
        <v>552268.410871297</v>
      </c>
      <c r="W7" s="13">
        <f>SQRT(T14/R7)</f>
        <v>52.138811648019093</v>
      </c>
      <c r="X7" s="13">
        <f>T7-W7*_xlfn.T.INV.2T(W5,S14)</f>
        <v>1225.6332821425046</v>
      </c>
      <c r="Y7" s="13">
        <f>T7+W7*_xlfn.T.INV.2T(W5,S14)</f>
        <v>1435.6591966074955</v>
      </c>
      <c r="AA7" s="13" t="str">
        <f>C1</f>
        <v>Segemax Carga [N]</v>
      </c>
      <c r="AB7" s="33">
        <f>AVERAGE(C2:C17)</f>
        <v>1560.2613818750003</v>
      </c>
      <c r="AC7" s="13">
        <f>COUNT(C2:C17)</f>
        <v>16</v>
      </c>
      <c r="AD7" s="13">
        <f>DEVSQ(C2:C17)</f>
        <v>494194.93976734701</v>
      </c>
    </row>
    <row r="8" spans="1:36" ht="17.45" customHeight="1">
      <c r="A8" s="24">
        <v>1454.8734099999999</v>
      </c>
      <c r="B8" s="22">
        <v>975.23175000000003</v>
      </c>
      <c r="C8" s="25">
        <v>1515.9801</v>
      </c>
      <c r="E8" s="13" t="s">
        <v>49</v>
      </c>
      <c r="F8" s="13" t="e">
        <f>MODE(A2:A17)</f>
        <v>#N/A</v>
      </c>
      <c r="G8" s="13" t="e">
        <f t="shared" ref="G8:H8" si="5">MODE(B2:B17)</f>
        <v>#N/A</v>
      </c>
      <c r="H8" s="13" t="e">
        <f t="shared" si="5"/>
        <v>#N/A</v>
      </c>
      <c r="J8" s="31" t="s">
        <v>50</v>
      </c>
      <c r="K8" s="34" t="str">
        <f>IF(K6&lt;K7,"no","yes")</f>
        <v>yes</v>
      </c>
      <c r="L8" s="34" t="str">
        <f t="shared" ref="L8:M8" si="6">IF(L6&lt;L7,"no","yes")</f>
        <v>yes</v>
      </c>
      <c r="M8" s="34" t="str">
        <f t="shared" si="6"/>
        <v>yes</v>
      </c>
      <c r="Q8" s="13" t="str">
        <f>B1</f>
        <v>Zotion CargaV[N]</v>
      </c>
      <c r="R8" s="13">
        <f>COUNT(B2:B17)</f>
        <v>16</v>
      </c>
      <c r="S8" s="33">
        <f>SUM(B2:B17)</f>
        <v>19654.438430000002</v>
      </c>
      <c r="T8" s="33">
        <f>AVERAGE(B2:B17)</f>
        <v>1228.4024018750001</v>
      </c>
      <c r="U8" s="13">
        <f>_xlfn.VAR.S(B2:B17)</f>
        <v>60721.649267335488</v>
      </c>
      <c r="V8" s="13">
        <f>DEVSQ(B2:B17)</f>
        <v>910824.73901003599</v>
      </c>
      <c r="W8" s="13">
        <f>SQRT(T14/R8)</f>
        <v>52.138811648019093</v>
      </c>
      <c r="X8" s="13">
        <f>T8-W8*_xlfn.T.INV.2T(W5,S14)</f>
        <v>1123.3894446425047</v>
      </c>
      <c r="Y8" s="13">
        <f>T8+W8*_xlfn.T.INV.2T(W5,S14)</f>
        <v>1333.4153591074955</v>
      </c>
      <c r="AA8" s="35"/>
      <c r="AB8" s="35"/>
      <c r="AC8" s="35">
        <f>SUM(AC5:AC7)</f>
        <v>48</v>
      </c>
      <c r="AD8" s="35">
        <f>SUM(AD5:AD7)</f>
        <v>1957288.0896486801</v>
      </c>
      <c r="AE8" s="35">
        <f>AC8-COUNT(AC5:AC7)</f>
        <v>45</v>
      </c>
      <c r="AF8" s="35">
        <f>[1]!QCRIT(COUNT(AC5:AC7),AE8,AE3,2)</f>
        <v>3.4273333333333333</v>
      </c>
    </row>
    <row r="9" spans="1:36" ht="17.45" customHeight="1" thickBot="1">
      <c r="A9" s="24">
        <v>1212.7885699999999</v>
      </c>
      <c r="B9" s="22">
        <v>886.90399000000002</v>
      </c>
      <c r="C9" s="25">
        <v>1743.52234</v>
      </c>
      <c r="E9" s="13" t="s">
        <v>51</v>
      </c>
      <c r="F9" s="13">
        <f>_xlfn.STDEV.S(A2:A17)</f>
        <v>191.87989487720299</v>
      </c>
      <c r="G9" s="13">
        <f t="shared" ref="G9:H9" si="7">_xlfn.STDEV.S(B2:B17)</f>
        <v>246.41763181098767</v>
      </c>
      <c r="H9" s="13">
        <f t="shared" si="7"/>
        <v>181.5112374422643</v>
      </c>
      <c r="Q9" s="13" t="str">
        <f>C1</f>
        <v>Segemax Carga [N]</v>
      </c>
      <c r="R9" s="13">
        <f>COUNT(C2:C17)</f>
        <v>16</v>
      </c>
      <c r="S9" s="33">
        <f>SUM(C2:C17)</f>
        <v>24964.182110000005</v>
      </c>
      <c r="T9" s="33">
        <f>AVERAGE(C2:C17)</f>
        <v>1560.2613818750003</v>
      </c>
      <c r="U9" s="13">
        <f>_xlfn.VAR.S(C2:C17)</f>
        <v>32946.329317822056</v>
      </c>
      <c r="V9" s="13">
        <f>DEVSQ(C2:C17)</f>
        <v>494194.93976734701</v>
      </c>
      <c r="W9" s="13">
        <f>SQRT(T14/R9)</f>
        <v>52.138811648019093</v>
      </c>
      <c r="X9" s="13">
        <f>T9-W9*_xlfn.T.INV.2T(W5,S14)</f>
        <v>1455.2484246425049</v>
      </c>
      <c r="Y9" s="13">
        <f>T9+W9*_xlfn.T.INV.2T(W5,S14)</f>
        <v>1665.2743391074957</v>
      </c>
      <c r="AA9" s="13" t="s">
        <v>52</v>
      </c>
    </row>
    <row r="10" spans="1:36" ht="17.45" customHeight="1" thickTop="1">
      <c r="A10" s="24">
        <v>1194.4626499999999</v>
      </c>
      <c r="B10" s="22">
        <v>1238.3731700000001</v>
      </c>
      <c r="C10" s="25">
        <v>1653.7329099999999</v>
      </c>
      <c r="E10" s="13" t="s">
        <v>53</v>
      </c>
      <c r="F10" s="13">
        <f>_xlfn.VAR.S(A2:A17)</f>
        <v>36817.894058086473</v>
      </c>
      <c r="G10" s="13">
        <f t="shared" ref="G10:H10" si="8">_xlfn.VAR.S(B2:B17)</f>
        <v>60721.649267335488</v>
      </c>
      <c r="H10" s="13">
        <f t="shared" si="8"/>
        <v>32946.329317822056</v>
      </c>
      <c r="J10" s="13" t="s">
        <v>54</v>
      </c>
      <c r="Q10" s="35"/>
      <c r="R10" s="35"/>
      <c r="S10" s="35"/>
      <c r="T10" s="35"/>
      <c r="U10" s="35"/>
      <c r="V10" s="35"/>
      <c r="W10" s="35"/>
      <c r="X10" s="35"/>
      <c r="Y10" s="35"/>
      <c r="AA10" s="36" t="s">
        <v>10</v>
      </c>
      <c r="AB10" s="36" t="s">
        <v>11</v>
      </c>
      <c r="AC10" s="36" t="s">
        <v>12</v>
      </c>
      <c r="AD10" s="36" t="s">
        <v>55</v>
      </c>
      <c r="AE10" s="36" t="s">
        <v>56</v>
      </c>
      <c r="AF10" s="36" t="s">
        <v>57</v>
      </c>
      <c r="AG10" s="36" t="s">
        <v>58</v>
      </c>
      <c r="AH10" s="36" t="s">
        <v>13</v>
      </c>
      <c r="AI10" s="36" t="s">
        <v>59</v>
      </c>
      <c r="AJ10" s="36" t="s">
        <v>60</v>
      </c>
    </row>
    <row r="11" spans="1:36" ht="17.45" customHeight="1" thickBot="1">
      <c r="A11" s="24">
        <v>1107.54358</v>
      </c>
      <c r="B11" s="22">
        <v>1194.5199</v>
      </c>
      <c r="C11" s="25">
        <v>1453.60571</v>
      </c>
      <c r="E11" s="13" t="s">
        <v>61</v>
      </c>
      <c r="F11" s="13">
        <f>KURT(A2:A17)</f>
        <v>-1.0264454747156257</v>
      </c>
      <c r="G11" s="13">
        <f t="shared" ref="G11:H11" si="9">KURT(B2:B17)</f>
        <v>-0.26993490316271718</v>
      </c>
      <c r="H11" s="13">
        <f t="shared" si="9"/>
        <v>-1.5869019270297926</v>
      </c>
      <c r="Q11" s="13" t="s">
        <v>14</v>
      </c>
      <c r="V11" s="13" t="s">
        <v>26</v>
      </c>
      <c r="AA11" s="35" t="str">
        <f>AA5</f>
        <v>VIVID Carga [N]</v>
      </c>
      <c r="AB11" s="35" t="str">
        <f>AA6</f>
        <v>Zotion CargaV[N]</v>
      </c>
      <c r="AC11" s="35">
        <f>ABS(AB5-AB6)</f>
        <v>102.24383749999993</v>
      </c>
      <c r="AD11" s="35">
        <f>SQRT(AD8/AE8/HARMEAN(AC5,AC6))</f>
        <v>52.138811648019093</v>
      </c>
      <c r="AE11" s="35">
        <f>AC11/AD11</f>
        <v>1.9609928624808708</v>
      </c>
      <c r="AF11" s="35">
        <f>AC11-AD11*AF$8</f>
        <v>-76.453249621644176</v>
      </c>
      <c r="AG11" s="35">
        <f>AC11+AD11*AF$8</f>
        <v>280.94092462164406</v>
      </c>
      <c r="AH11" s="35">
        <f>[1]!QDIST(AE11,COUNT($AC$5:$AC$7),AE$8)</f>
        <v>0.35634711040914968</v>
      </c>
      <c r="AI11" s="35">
        <f>AD11*AF$8</f>
        <v>178.6970871216441</v>
      </c>
      <c r="AJ11" s="35">
        <f>AC11*SQRT(AE$8/AD$8)</f>
        <v>0.49024821562021775</v>
      </c>
    </row>
    <row r="12" spans="1:36" ht="17.45" customHeight="1" thickTop="1">
      <c r="A12" s="24">
        <v>1484.1239</v>
      </c>
      <c r="B12" s="22">
        <v>1554.5771500000001</v>
      </c>
      <c r="C12" s="25">
        <v>1355.41589</v>
      </c>
      <c r="E12" s="13" t="s">
        <v>62</v>
      </c>
      <c r="F12" s="13">
        <f>SKEW(A2:A17)</f>
        <v>0.38451976913062069</v>
      </c>
      <c r="G12" s="13">
        <f t="shared" ref="G12:H12" si="10">SKEW(B2:B17)</f>
        <v>0.57677030507030624</v>
      </c>
      <c r="H12" s="13">
        <f t="shared" si="10"/>
        <v>-4.5860938629537093E-2</v>
      </c>
      <c r="J12" s="35" t="s">
        <v>63</v>
      </c>
      <c r="K12" s="35">
        <f>[1]!DAGOSTINO(A2:A17)</f>
        <v>1.7517274798815046</v>
      </c>
      <c r="L12" s="35">
        <f>[1]!DAGOSTINO(B2:B17)</f>
        <v>1.1274390139600172</v>
      </c>
      <c r="M12" s="35">
        <f>[1]!DAGOSTINO(C2:C17)</f>
        <v>5.4383744038189548</v>
      </c>
      <c r="Q12" s="36" t="s">
        <v>64</v>
      </c>
      <c r="R12" s="36" t="s">
        <v>45</v>
      </c>
      <c r="S12" s="36" t="s">
        <v>36</v>
      </c>
      <c r="T12" s="36" t="s">
        <v>65</v>
      </c>
      <c r="U12" s="36" t="s">
        <v>66</v>
      </c>
      <c r="V12" s="36" t="s">
        <v>67</v>
      </c>
      <c r="W12" s="36" t="s">
        <v>68</v>
      </c>
      <c r="X12" s="36" t="s">
        <v>69</v>
      </c>
      <c r="Y12" s="36" t="s">
        <v>70</v>
      </c>
      <c r="AA12" s="13" t="str">
        <f>AA5</f>
        <v>VIVID Carga [N]</v>
      </c>
      <c r="AB12" s="13" t="str">
        <f>AA7</f>
        <v>Segemax Carga [N]</v>
      </c>
      <c r="AC12" s="13">
        <f>ABS(AB5-AB7)</f>
        <v>229.61514250000027</v>
      </c>
      <c r="AD12" s="13">
        <f>SQRT(AD8/AE8/HARMEAN(AC5,AC7))</f>
        <v>52.138811648019093</v>
      </c>
      <c r="AE12" s="13">
        <f t="shared" ref="AE12:AE13" si="11">AC12/AD12</f>
        <v>4.4039197527188758</v>
      </c>
      <c r="AF12" s="13">
        <f t="shared" ref="AF12:AF13" si="12">AC12-AD12*AF$8</f>
        <v>50.918055378356172</v>
      </c>
      <c r="AG12" s="13">
        <f t="shared" ref="AG12:AG13" si="13">AC12+AD12*AF$8</f>
        <v>408.31222962164441</v>
      </c>
      <c r="AH12" s="13">
        <f>[1]!QDIST(AE12,COUNT($AC$5:$AC$7),AE$8)</f>
        <v>8.8275946202140965E-3</v>
      </c>
      <c r="AI12" s="13">
        <f t="shared" ref="AI12:AI13" si="14">AD12*AF$8</f>
        <v>178.6970871216441</v>
      </c>
      <c r="AJ12" s="13">
        <f t="shared" ref="AJ12:AJ13" si="15">AC12*SQRT(AE$8/AD$8)</f>
        <v>1.100979938179719</v>
      </c>
    </row>
    <row r="13" spans="1:36" ht="17.45" customHeight="1">
      <c r="A13" s="24">
        <v>1688.9063699999999</v>
      </c>
      <c r="B13" s="22">
        <v>1092.1355000000001</v>
      </c>
      <c r="C13" s="25">
        <v>1496.04736</v>
      </c>
      <c r="E13" s="13" t="s">
        <v>71</v>
      </c>
      <c r="F13" s="13">
        <f>F14-F15</f>
        <v>656.65331999999989</v>
      </c>
      <c r="G13" s="13">
        <f t="shared" ref="G13:H13" si="16">G14-G15</f>
        <v>854.92583999999988</v>
      </c>
      <c r="H13" s="13">
        <f t="shared" si="16"/>
        <v>496.22375000000011</v>
      </c>
      <c r="J13" s="13" t="s">
        <v>13</v>
      </c>
      <c r="K13" s="13">
        <f>[1]!DPTEST(A2:A17)</f>
        <v>0.41650211475683274</v>
      </c>
      <c r="L13" s="13">
        <f>[1]!DPTEST(B2:B17)</f>
        <v>0.56908839411662826</v>
      </c>
      <c r="M13" s="13">
        <f>[1]!DPTEST(C2:C17)</f>
        <v>6.5928319066684171E-2</v>
      </c>
      <c r="Q13" s="13" t="s">
        <v>72</v>
      </c>
      <c r="R13" s="13">
        <f>R15-R14</f>
        <v>924305.5924195305</v>
      </c>
      <c r="S13" s="13">
        <f>COUNTA(Q7:Q9)-1</f>
        <v>2</v>
      </c>
      <c r="T13" s="13">
        <f>R13/S13</f>
        <v>462152.79620976525</v>
      </c>
      <c r="U13" s="13">
        <f>T13/T14</f>
        <v>10.625352465702855</v>
      </c>
      <c r="V13" s="13">
        <f>_xlfn.F.DIST.RT(U13,S13,S14)</f>
        <v>1.6614804178608663E-4</v>
      </c>
      <c r="W13" s="13">
        <f>R13/R15</f>
        <v>0.3207619443960355</v>
      </c>
      <c r="X13" s="13">
        <f>SQRT(DEVSQ(T7:T9)/(T14*S13))</f>
        <v>0.81491381698093079</v>
      </c>
      <c r="Y13" s="13">
        <f>(R15-S15*T14)/(R15+T14)</f>
        <v>0.2862528348370626</v>
      </c>
      <c r="AA13" s="31" t="str">
        <f>AA6</f>
        <v>Zotion CargaV[N]</v>
      </c>
      <c r="AB13" s="31" t="str">
        <f>AA7</f>
        <v>Segemax Carga [N]</v>
      </c>
      <c r="AC13" s="31">
        <f>ABS(AB6-AB7)</f>
        <v>331.8589800000002</v>
      </c>
      <c r="AD13" s="31">
        <f>SQRT(AD8/AE8/HARMEAN(AC6,AC7))</f>
        <v>52.138811648019093</v>
      </c>
      <c r="AE13" s="31">
        <f t="shared" si="11"/>
        <v>6.3649126151997466</v>
      </c>
      <c r="AF13" s="31">
        <f t="shared" si="12"/>
        <v>153.1618928783561</v>
      </c>
      <c r="AG13" s="31">
        <f t="shared" si="13"/>
        <v>510.55606712164433</v>
      </c>
      <c r="AH13" s="31">
        <f>[1]!QDIST(AE13,COUNT($AC$5:$AC$7),AE$8)</f>
        <v>1.3850489443023584E-4</v>
      </c>
      <c r="AI13" s="31">
        <f t="shared" si="14"/>
        <v>178.6970871216441</v>
      </c>
      <c r="AJ13" s="31">
        <f t="shared" si="15"/>
        <v>1.5912281537999369</v>
      </c>
    </row>
    <row r="14" spans="1:36" ht="17.45" customHeight="1">
      <c r="A14" s="24">
        <v>1216.5584699999999</v>
      </c>
      <c r="B14" s="22">
        <v>1201.8216600000001</v>
      </c>
      <c r="C14" s="25">
        <v>1768.0739699999999</v>
      </c>
      <c r="E14" s="13" t="s">
        <v>23</v>
      </c>
      <c r="F14" s="33">
        <f>MAX(A2:A17)</f>
        <v>1688.9063699999999</v>
      </c>
      <c r="G14" s="33">
        <f t="shared" ref="G14:H14" si="17">MAX(B2:B17)</f>
        <v>1741.8298299999999</v>
      </c>
      <c r="H14" s="33">
        <f t="shared" si="17"/>
        <v>1792.1097400000001</v>
      </c>
      <c r="J14" s="13" t="s">
        <v>33</v>
      </c>
      <c r="K14" s="13">
        <v>0.05</v>
      </c>
      <c r="L14" s="13">
        <v>0.05</v>
      </c>
      <c r="M14" s="13">
        <v>0.05</v>
      </c>
      <c r="Q14" s="13" t="s">
        <v>73</v>
      </c>
      <c r="R14" s="13">
        <f>SUM(V7:V9)</f>
        <v>1957288.0896486801</v>
      </c>
      <c r="S14" s="13">
        <f>S15-S13</f>
        <v>45</v>
      </c>
      <c r="T14" s="13">
        <f>R14/S14</f>
        <v>43495.290881081783</v>
      </c>
    </row>
    <row r="15" spans="1:36" ht="17.45" customHeight="1">
      <c r="A15" s="24">
        <v>1228.36328</v>
      </c>
      <c r="B15" s="22">
        <v>1284.0825199999999</v>
      </c>
      <c r="C15" s="25">
        <v>1509.42346</v>
      </c>
      <c r="E15" s="13" t="s">
        <v>24</v>
      </c>
      <c r="F15" s="33">
        <f>MIN(A2:A17)</f>
        <v>1032.25305</v>
      </c>
      <c r="G15" s="33">
        <f t="shared" ref="G15:H15" si="18">MIN(B2:B17)</f>
        <v>886.90399000000002</v>
      </c>
      <c r="H15" s="33">
        <f t="shared" si="18"/>
        <v>1295.88599</v>
      </c>
      <c r="J15" s="31" t="s">
        <v>50</v>
      </c>
      <c r="K15" s="34" t="str">
        <f>IF(K13&lt;K14,"no","yes")</f>
        <v>yes</v>
      </c>
      <c r="L15" s="34" t="str">
        <f t="shared" ref="L15:M15" si="19">IF(L13&lt;L14,"no","yes")</f>
        <v>yes</v>
      </c>
      <c r="M15" s="34" t="str">
        <f t="shared" si="19"/>
        <v>yes</v>
      </c>
      <c r="Q15" s="31" t="s">
        <v>74</v>
      </c>
      <c r="R15" s="31">
        <f>DEVSQ(A2:C17)</f>
        <v>2881593.6820682106</v>
      </c>
      <c r="S15" s="31">
        <f>COUNT(A2:C17)-1</f>
        <v>47</v>
      </c>
      <c r="T15" s="31">
        <f>R15/S15</f>
        <v>61310.503873791713</v>
      </c>
      <c r="U15" s="31"/>
      <c r="V15" s="31"/>
      <c r="W15" s="31"/>
      <c r="X15" s="31"/>
      <c r="Y15" s="31"/>
    </row>
    <row r="16" spans="1:36" ht="17.45" customHeight="1">
      <c r="A16" s="24">
        <v>1225.0534700000001</v>
      </c>
      <c r="B16" s="22">
        <v>995.07647999999995</v>
      </c>
      <c r="C16" s="25">
        <v>1763.8551</v>
      </c>
      <c r="E16" s="13" t="s">
        <v>43</v>
      </c>
      <c r="F16" s="33">
        <f>SUM(A2:A17)</f>
        <v>21290.339830000001</v>
      </c>
      <c r="G16" s="33">
        <f t="shared" ref="G16:H16" si="20">SUM(B2:B17)</f>
        <v>19654.438430000002</v>
      </c>
      <c r="H16" s="33">
        <f t="shared" si="20"/>
        <v>24964.182110000005</v>
      </c>
    </row>
    <row r="17" spans="1:13" ht="17.45" customHeight="1">
      <c r="A17" s="24">
        <v>1570.07043</v>
      </c>
      <c r="B17" s="22">
        <v>1301.2924800000001</v>
      </c>
      <c r="C17" s="25">
        <v>1695.3487500000001</v>
      </c>
      <c r="E17" s="13" t="s">
        <v>42</v>
      </c>
      <c r="F17" s="13">
        <f>COUNT(A2:A17)</f>
        <v>16</v>
      </c>
      <c r="G17" s="13">
        <f t="shared" ref="G17:H17" si="21">COUNT(B2:B17)</f>
        <v>16</v>
      </c>
      <c r="H17" s="13">
        <f t="shared" si="21"/>
        <v>16</v>
      </c>
    </row>
    <row r="18" spans="1:13">
      <c r="E18" s="13" t="s">
        <v>75</v>
      </c>
      <c r="F18" s="13">
        <f>GEOMEAN(A2:A17)</f>
        <v>1317.9256191827637</v>
      </c>
      <c r="G18" s="13">
        <f t="shared" ref="G18:H18" si="22">GEOMEAN(B2:B17)</f>
        <v>1206.0556466268629</v>
      </c>
      <c r="H18" s="13">
        <f t="shared" si="22"/>
        <v>1550.2664404975305</v>
      </c>
    </row>
    <row r="19" spans="1:13">
      <c r="E19" s="13" t="s">
        <v>76</v>
      </c>
      <c r="F19" s="13">
        <f>HARMEAN(A2:A17)</f>
        <v>1305.5258835267293</v>
      </c>
      <c r="G19" s="13">
        <f t="shared" ref="G19:H19" si="23">HARMEAN(B2:B17)</f>
        <v>1184.6521747462461</v>
      </c>
      <c r="H19" s="13">
        <f t="shared" si="23"/>
        <v>1540.2356979671783</v>
      </c>
    </row>
    <row r="20" spans="1:13">
      <c r="E20" s="13" t="s">
        <v>77</v>
      </c>
      <c r="F20" s="13">
        <f>AVEDEV(A2:A17)</f>
        <v>167.41505429687498</v>
      </c>
      <c r="G20" s="13">
        <f t="shared" ref="G20:H20" si="24">AVEDEV(B2:B17)</f>
        <v>191.28557187500004</v>
      </c>
      <c r="H20" s="13">
        <f t="shared" si="24"/>
        <v>159.81891210937505</v>
      </c>
    </row>
    <row r="21" spans="1:13">
      <c r="E21" s="13" t="s">
        <v>78</v>
      </c>
      <c r="F21" s="13">
        <f>[1]!MAD(A2:A17)</f>
        <v>130.22106999999994</v>
      </c>
      <c r="G21" s="13">
        <f>[1]!MAD(B2:B17)</f>
        <v>171.29059000000012</v>
      </c>
      <c r="H21" s="13">
        <f>[1]!MAD(C2:C17)</f>
        <v>175.780575</v>
      </c>
    </row>
    <row r="22" spans="1:13">
      <c r="E22" s="31" t="s">
        <v>25</v>
      </c>
      <c r="F22" s="31">
        <f>[1]!IQR(A2:A17,FALSE)</f>
        <v>286.48654500000021</v>
      </c>
      <c r="G22" s="31">
        <f>[1]!IQR(B2:B17,FALSE)</f>
        <v>315.93922499999996</v>
      </c>
      <c r="H22" s="31">
        <f>[1]!IQR(C2:C17,FALSE)</f>
        <v>319.54727500000013</v>
      </c>
    </row>
    <row r="25" spans="1:13" ht="13.5" thickBot="1">
      <c r="J25" s="13" t="s">
        <v>7</v>
      </c>
    </row>
    <row r="26" spans="1:13" ht="13.5" thickTop="1">
      <c r="F26" s="13" t="s">
        <v>4</v>
      </c>
      <c r="G26" s="13" t="s">
        <v>5</v>
      </c>
      <c r="H26" s="13" t="s">
        <v>6</v>
      </c>
      <c r="J26" s="36" t="s">
        <v>10</v>
      </c>
      <c r="K26" s="36" t="s">
        <v>11</v>
      </c>
      <c r="L26" s="36" t="s">
        <v>12</v>
      </c>
      <c r="M26" s="36" t="s">
        <v>13</v>
      </c>
    </row>
    <row r="27" spans="1:13">
      <c r="E27" s="13" t="s">
        <v>16</v>
      </c>
      <c r="F27" s="13">
        <v>16</v>
      </c>
      <c r="G27" s="13">
        <v>16</v>
      </c>
      <c r="H27" s="13">
        <v>16</v>
      </c>
      <c r="J27" s="35" t="s">
        <v>4</v>
      </c>
      <c r="K27" s="35" t="s">
        <v>5</v>
      </c>
      <c r="L27" s="35">
        <v>102.24383749999993</v>
      </c>
      <c r="M27" s="35">
        <v>0.35634711040914968</v>
      </c>
    </row>
    <row r="28" spans="1:13">
      <c r="E28" s="13" t="s">
        <v>19</v>
      </c>
      <c r="F28" s="13">
        <v>1330.6462393750001</v>
      </c>
      <c r="G28" s="13">
        <v>1228.4024018750001</v>
      </c>
      <c r="H28" s="13">
        <v>1560.2613818750003</v>
      </c>
      <c r="J28" s="13" t="s">
        <v>4</v>
      </c>
      <c r="K28" s="13" t="s">
        <v>6</v>
      </c>
      <c r="L28" s="13">
        <v>229.61514250000027</v>
      </c>
      <c r="M28" s="13">
        <v>8.8275946202140965E-3</v>
      </c>
    </row>
    <row r="29" spans="1:13">
      <c r="E29" s="13" t="s">
        <v>21</v>
      </c>
      <c r="F29" s="13">
        <v>47.969973719300746</v>
      </c>
      <c r="G29" s="13">
        <v>61.604407952746918</v>
      </c>
      <c r="H29" s="13">
        <v>45.377809360566076</v>
      </c>
      <c r="J29" s="31" t="s">
        <v>5</v>
      </c>
      <c r="K29" s="31" t="s">
        <v>6</v>
      </c>
      <c r="L29" s="31">
        <v>331.8589800000002</v>
      </c>
      <c r="M29" s="31">
        <v>1.3850489443023584E-4</v>
      </c>
    </row>
    <row r="30" spans="1:13">
      <c r="E30" s="13" t="s">
        <v>22</v>
      </c>
      <c r="F30" s="13">
        <v>1226.7083750000002</v>
      </c>
      <c r="G30" s="13">
        <v>1220.0974150000002</v>
      </c>
      <c r="H30" s="13">
        <v>1512.7017799999999</v>
      </c>
    </row>
    <row r="31" spans="1:13">
      <c r="E31" s="13" t="s">
        <v>23</v>
      </c>
      <c r="F31" s="13">
        <v>1688.9063699999999</v>
      </c>
      <c r="G31" s="13">
        <v>1741.8298299999999</v>
      </c>
      <c r="H31" s="13">
        <v>1792.1097400000001</v>
      </c>
    </row>
    <row r="32" spans="1:13">
      <c r="E32" s="13" t="s">
        <v>24</v>
      </c>
      <c r="F32" s="13">
        <v>1032.25305</v>
      </c>
      <c r="G32" s="13">
        <v>886.90399000000002</v>
      </c>
      <c r="H32" s="13">
        <v>1295.88599</v>
      </c>
    </row>
    <row r="33" spans="5:8">
      <c r="E33" s="13" t="s">
        <v>25</v>
      </c>
      <c r="F33" s="13">
        <v>286.48654500000021</v>
      </c>
      <c r="G33" s="13">
        <v>315.93922499999996</v>
      </c>
      <c r="H33" s="13">
        <v>319.54727500000013</v>
      </c>
    </row>
    <row r="34" spans="5:8">
      <c r="E34" s="13" t="s">
        <v>13</v>
      </c>
      <c r="F34" s="13">
        <v>0.41650211475683274</v>
      </c>
      <c r="G34" s="13">
        <v>0.56908839411662826</v>
      </c>
      <c r="H34" s="13">
        <v>6.5928319066684171E-2</v>
      </c>
    </row>
    <row r="35" spans="5:8">
      <c r="E35" s="13" t="s">
        <v>26</v>
      </c>
      <c r="F35" s="13">
        <v>1.6614804178608663E-4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A89B3-7D21-45C6-9676-EB26CA389EE1}">
  <dimension ref="A1:A10"/>
  <sheetViews>
    <sheetView workbookViewId="0">
      <selection activeCell="A4" sqref="A4"/>
    </sheetView>
  </sheetViews>
  <sheetFormatPr defaultColWidth="12" defaultRowHeight="12.75"/>
  <sheetData>
    <row r="1" spans="1:1" ht="15.75">
      <c r="A1" s="27" t="s">
        <v>79</v>
      </c>
    </row>
    <row r="2" spans="1:1" ht="15">
      <c r="A2" s="28"/>
    </row>
    <row r="3" spans="1:1" ht="15.75">
      <c r="A3" s="29" t="s">
        <v>80</v>
      </c>
    </row>
    <row r="4" spans="1:1" ht="15">
      <c r="A4" s="28" t="s">
        <v>81</v>
      </c>
    </row>
    <row r="5" spans="1:1" ht="15">
      <c r="A5" s="28"/>
    </row>
    <row r="6" spans="1:1" ht="15.75">
      <c r="A6" s="29" t="s">
        <v>82</v>
      </c>
    </row>
    <row r="7" spans="1:1" ht="18.75">
      <c r="A7" s="30" t="s">
        <v>83</v>
      </c>
    </row>
    <row r="8" spans="1:1" ht="18.75">
      <c r="A8" s="30" t="s">
        <v>84</v>
      </c>
    </row>
    <row r="9" spans="1:1" ht="18.75">
      <c r="A9" s="30" t="s">
        <v>85</v>
      </c>
    </row>
    <row r="10" spans="1:1" ht="18.75">
      <c r="A10" s="30" t="s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ColWidth="8.83203125" defaultRowHeight="12.75"/>
  <cols>
    <col min="1" max="1" width="123.83203125" customWidth="1"/>
  </cols>
  <sheetData>
    <row r="1" spans="1:1" ht="12" customHeight="1">
      <c r="A1" s="1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3203125" defaultRowHeight="12.75"/>
  <cols>
    <col min="1" max="1" width="123.83203125" customWidth="1"/>
  </cols>
  <sheetData>
    <row r="1" spans="1:1" ht="12" customHeight="1">
      <c r="A1" s="2" t="s">
        <v>88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DC4D6-42C8-4EED-94EB-659206698DA6}">
  <dimension ref="A1:C17"/>
  <sheetViews>
    <sheetView workbookViewId="0">
      <selection activeCell="C2" sqref="C2"/>
    </sheetView>
  </sheetViews>
  <sheetFormatPr defaultColWidth="9.33203125" defaultRowHeight="12.75"/>
  <cols>
    <col min="1" max="1" width="15.1640625" style="13" customWidth="1"/>
    <col min="2" max="2" width="12.33203125" style="13" bestFit="1" customWidth="1"/>
    <col min="3" max="16384" width="9.33203125" style="13"/>
  </cols>
  <sheetData>
    <row r="1" spans="1:3" ht="42">
      <c r="A1" s="21" t="s">
        <v>4</v>
      </c>
      <c r="B1" s="23" t="s">
        <v>5</v>
      </c>
      <c r="C1" s="26" t="s">
        <v>6</v>
      </c>
    </row>
    <row r="2" spans="1:3" ht="17.45" customHeight="1">
      <c r="A2" s="24">
        <v>1207.4888900000001</v>
      </c>
      <c r="B2" s="22">
        <v>1311.9379899999999</v>
      </c>
      <c r="C2" s="25">
        <v>1792.1097400000001</v>
      </c>
    </row>
    <row r="3" spans="1:3" ht="17.45" customHeight="1">
      <c r="A3" s="24">
        <v>1550.8696299999999</v>
      </c>
      <c r="B3" s="22">
        <v>1339.4538600000001</v>
      </c>
      <c r="C3" s="25">
        <v>1315.8631600000001</v>
      </c>
    </row>
    <row r="4" spans="1:3" ht="17.45" customHeight="1">
      <c r="A4" s="24">
        <v>1367.9857199999999</v>
      </c>
      <c r="B4" s="22">
        <v>1741.8298299999999</v>
      </c>
      <c r="C4" s="25">
        <v>1295.88599</v>
      </c>
    </row>
    <row r="5" spans="1:3" ht="17.45" customHeight="1">
      <c r="A5" s="24">
        <v>1211.9837600000001</v>
      </c>
      <c r="B5" s="22">
        <v>945.76720999999998</v>
      </c>
      <c r="C5" s="25">
        <v>1477.79187</v>
      </c>
    </row>
    <row r="6" spans="1:3" ht="17.45" customHeight="1">
      <c r="A6" s="24">
        <v>1032.25305</v>
      </c>
      <c r="B6" s="22">
        <v>1585.95679</v>
      </c>
      <c r="C6" s="25">
        <v>1783.7381600000001</v>
      </c>
    </row>
    <row r="7" spans="1:3" ht="15.2" customHeight="1">
      <c r="A7" s="24">
        <v>1537.0146500000001</v>
      </c>
      <c r="B7" s="22">
        <v>1005.47815</v>
      </c>
      <c r="C7" s="25">
        <v>1343.7876000000001</v>
      </c>
    </row>
    <row r="8" spans="1:3" ht="17.45" customHeight="1">
      <c r="A8" s="24">
        <v>1454.8734099999999</v>
      </c>
      <c r="B8" s="22">
        <v>975.23175000000003</v>
      </c>
      <c r="C8" s="25">
        <v>1515.9801</v>
      </c>
    </row>
    <row r="9" spans="1:3" ht="17.45" customHeight="1">
      <c r="A9" s="24">
        <v>1212.7885699999999</v>
      </c>
      <c r="B9" s="22">
        <v>886.90399000000002</v>
      </c>
      <c r="C9" s="25">
        <v>1743.52234</v>
      </c>
    </row>
    <row r="10" spans="1:3" ht="17.45" customHeight="1">
      <c r="A10" s="24">
        <v>1194.4626499999999</v>
      </c>
      <c r="B10" s="22">
        <v>1238.3731700000001</v>
      </c>
      <c r="C10" s="25">
        <v>1653.7329099999999</v>
      </c>
    </row>
    <row r="11" spans="1:3" ht="17.45" customHeight="1">
      <c r="A11" s="24">
        <v>1107.54358</v>
      </c>
      <c r="B11" s="22">
        <v>1194.5199</v>
      </c>
      <c r="C11" s="25">
        <v>1453.60571</v>
      </c>
    </row>
    <row r="12" spans="1:3" ht="17.45" customHeight="1">
      <c r="A12" s="24">
        <v>1484.1239</v>
      </c>
      <c r="B12" s="22">
        <v>1554.5771500000001</v>
      </c>
      <c r="C12" s="25">
        <v>1355.41589</v>
      </c>
    </row>
    <row r="13" spans="1:3" ht="17.45" customHeight="1">
      <c r="A13" s="24">
        <v>1688.9063699999999</v>
      </c>
      <c r="B13" s="22">
        <v>1092.1355000000001</v>
      </c>
      <c r="C13" s="25">
        <v>1496.04736</v>
      </c>
    </row>
    <row r="14" spans="1:3" ht="17.45" customHeight="1">
      <c r="A14" s="24">
        <v>1216.5584699999999</v>
      </c>
      <c r="B14" s="22">
        <v>1201.8216600000001</v>
      </c>
      <c r="C14" s="25">
        <v>1768.0739699999999</v>
      </c>
    </row>
    <row r="15" spans="1:3" ht="17.45" customHeight="1">
      <c r="A15" s="24">
        <v>1228.36328</v>
      </c>
      <c r="B15" s="22">
        <v>1284.0825199999999</v>
      </c>
      <c r="C15" s="25">
        <v>1509.42346</v>
      </c>
    </row>
    <row r="16" spans="1:3" ht="17.45" customHeight="1">
      <c r="A16" s="24">
        <v>1225.0534700000001</v>
      </c>
      <c r="B16" s="22">
        <v>995.07647999999995</v>
      </c>
      <c r="C16" s="25">
        <v>1763.8551</v>
      </c>
    </row>
    <row r="17" spans="1:3" ht="17.45" customHeight="1">
      <c r="A17" s="24">
        <v>1570.07043</v>
      </c>
      <c r="B17" s="22">
        <v>1301.2924800000001</v>
      </c>
      <c r="C17" s="25">
        <v>1695.3487500000001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3"/>
  <sheetViews>
    <sheetView zoomScale="71" workbookViewId="0">
      <selection activeCell="C1" sqref="C1:C17"/>
    </sheetView>
  </sheetViews>
  <sheetFormatPr defaultColWidth="8.83203125" defaultRowHeight="12.75"/>
  <cols>
    <col min="1" max="1" width="24" customWidth="1"/>
    <col min="2" max="3" width="48.5" customWidth="1"/>
  </cols>
  <sheetData>
    <row r="1" spans="1:3" ht="71.25" customHeight="1">
      <c r="A1" s="3"/>
      <c r="B1" s="3"/>
      <c r="C1" s="4" t="s">
        <v>89</v>
      </c>
    </row>
    <row r="2" spans="1:3" ht="17.649999999999999" customHeight="1">
      <c r="A2" s="5">
        <v>1</v>
      </c>
      <c r="B2" s="6"/>
      <c r="C2" s="7">
        <v>1311.9379899999999</v>
      </c>
    </row>
    <row r="3" spans="1:3" ht="17.649999999999999" customHeight="1">
      <c r="A3" s="5">
        <v>2</v>
      </c>
      <c r="B3" s="6"/>
      <c r="C3" s="7">
        <v>1339.4538600000001</v>
      </c>
    </row>
    <row r="4" spans="1:3" ht="17.649999999999999" customHeight="1">
      <c r="A4" s="5">
        <v>3</v>
      </c>
      <c r="B4" s="6"/>
      <c r="C4" s="7">
        <v>1741.8298299999999</v>
      </c>
    </row>
    <row r="5" spans="1:3" ht="17.649999999999999" customHeight="1">
      <c r="A5" s="5">
        <v>4</v>
      </c>
      <c r="B5" s="6"/>
      <c r="C5" s="7">
        <v>945.76720999999998</v>
      </c>
    </row>
    <row r="6" spans="1:3" ht="17.649999999999999" customHeight="1">
      <c r="A6" s="5">
        <v>5</v>
      </c>
      <c r="B6" s="6"/>
      <c r="C6" s="7">
        <v>1585.95679</v>
      </c>
    </row>
    <row r="7" spans="1:3" ht="16.899999999999999" customHeight="1">
      <c r="A7" s="5">
        <v>6</v>
      </c>
      <c r="B7" s="6"/>
      <c r="C7" s="7">
        <v>1005.47815</v>
      </c>
    </row>
    <row r="8" spans="1:3" ht="17.649999999999999" customHeight="1">
      <c r="A8" s="5">
        <v>7</v>
      </c>
      <c r="B8" s="6"/>
      <c r="C8" s="7">
        <v>975.23175000000003</v>
      </c>
    </row>
    <row r="9" spans="1:3" ht="17.649999999999999" customHeight="1">
      <c r="A9" s="5">
        <v>8</v>
      </c>
      <c r="B9" s="6"/>
      <c r="C9" s="7">
        <v>886.90399000000002</v>
      </c>
    </row>
    <row r="10" spans="1:3" ht="17.649999999999999" customHeight="1">
      <c r="A10" s="5">
        <v>9</v>
      </c>
      <c r="B10" s="6"/>
      <c r="C10" s="7">
        <v>1238.3731700000001</v>
      </c>
    </row>
    <row r="11" spans="1:3" ht="17.649999999999999" customHeight="1">
      <c r="A11" s="8">
        <v>10</v>
      </c>
      <c r="B11" s="6"/>
      <c r="C11" s="7">
        <v>1194.5199</v>
      </c>
    </row>
    <row r="12" spans="1:3" ht="17.649999999999999" customHeight="1">
      <c r="A12" s="8">
        <v>11</v>
      </c>
      <c r="B12" s="6"/>
      <c r="C12" s="7">
        <v>1554.5771500000001</v>
      </c>
    </row>
    <row r="13" spans="1:3" ht="17.649999999999999" customHeight="1">
      <c r="A13" s="8">
        <v>12</v>
      </c>
      <c r="B13" s="6"/>
      <c r="C13" s="7">
        <v>1092.1355000000001</v>
      </c>
    </row>
    <row r="14" spans="1:3" ht="17.649999999999999" customHeight="1">
      <c r="A14" s="8">
        <v>13</v>
      </c>
      <c r="B14" s="6"/>
      <c r="C14" s="7">
        <v>1201.8216600000001</v>
      </c>
    </row>
    <row r="15" spans="1:3" ht="17.649999999999999" customHeight="1">
      <c r="A15" s="8">
        <v>14</v>
      </c>
      <c r="B15" s="6"/>
      <c r="C15" s="7">
        <v>1284.0825199999999</v>
      </c>
    </row>
    <row r="16" spans="1:3" ht="17.649999999999999" customHeight="1">
      <c r="A16" s="8">
        <v>15</v>
      </c>
      <c r="B16" s="6"/>
      <c r="C16" s="7">
        <v>995.07647999999995</v>
      </c>
    </row>
    <row r="17" spans="1:3" ht="17.649999999999999" customHeight="1">
      <c r="A17" s="8">
        <v>16</v>
      </c>
      <c r="B17" s="6"/>
      <c r="C17" s="7">
        <v>1301.2924800000001</v>
      </c>
    </row>
    <row r="18" spans="1:3" ht="17.649999999999999" customHeight="1">
      <c r="A18" s="9" t="s">
        <v>90</v>
      </c>
      <c r="B18" s="6"/>
      <c r="C18" s="7">
        <v>1228.4023999999999</v>
      </c>
    </row>
    <row r="19" spans="1:3" ht="17.649999999999999" customHeight="1">
      <c r="A19" s="9" t="s">
        <v>91</v>
      </c>
      <c r="B19" s="6"/>
      <c r="C19" s="7">
        <v>1220.0974100000001</v>
      </c>
    </row>
    <row r="20" spans="1:3" ht="17.649999999999999" customHeight="1">
      <c r="A20" s="9" t="s">
        <v>92</v>
      </c>
      <c r="B20" s="6"/>
      <c r="C20" s="7">
        <v>1741.8298299999999</v>
      </c>
    </row>
    <row r="21" spans="1:3" ht="17.649999999999999" customHeight="1">
      <c r="A21" s="9" t="s">
        <v>93</v>
      </c>
      <c r="B21" s="6"/>
      <c r="C21" s="7">
        <v>886.90399000000002</v>
      </c>
    </row>
    <row r="22" spans="1:3" ht="35.65" customHeight="1">
      <c r="A22" s="3" t="s">
        <v>94</v>
      </c>
      <c r="B22" s="10"/>
      <c r="C22" s="7">
        <v>246.41763</v>
      </c>
    </row>
    <row r="23" spans="1:3" ht="35.65" customHeight="1">
      <c r="A23" s="3" t="s">
        <v>95</v>
      </c>
      <c r="B23" s="10"/>
      <c r="C23" s="7">
        <v>20.060009999999998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39C6A-4FBC-4800-A04A-9CEE79178F41}">
  <dimension ref="A1:C24"/>
  <sheetViews>
    <sheetView workbookViewId="0">
      <selection activeCell="C1" sqref="C1:C17"/>
    </sheetView>
  </sheetViews>
  <sheetFormatPr defaultColWidth="9.33203125" defaultRowHeight="12.75"/>
  <cols>
    <col min="1" max="1" width="24.1640625" style="13" customWidth="1"/>
    <col min="2" max="2" width="48.5" style="13" customWidth="1"/>
    <col min="3" max="3" width="48.6640625" style="13" customWidth="1"/>
    <col min="4" max="16384" width="9.33203125" style="13"/>
  </cols>
  <sheetData>
    <row r="1" spans="1:3" ht="71.45" customHeight="1">
      <c r="A1" s="11"/>
      <c r="B1" s="11"/>
      <c r="C1" s="12" t="s">
        <v>89</v>
      </c>
    </row>
    <row r="2" spans="1:3" ht="17.850000000000001" customHeight="1">
      <c r="A2" s="14">
        <v>1</v>
      </c>
      <c r="B2" s="15"/>
      <c r="C2" s="16">
        <v>1792.1097400000001</v>
      </c>
    </row>
    <row r="3" spans="1:3" ht="17.850000000000001" customHeight="1">
      <c r="A3" s="14">
        <v>2</v>
      </c>
      <c r="B3" s="15"/>
      <c r="C3" s="16">
        <v>1315.8631600000001</v>
      </c>
    </row>
    <row r="4" spans="1:3" ht="17.850000000000001" customHeight="1">
      <c r="A4" s="14">
        <v>3</v>
      </c>
      <c r="B4" s="15"/>
      <c r="C4" s="16">
        <v>1295.88599</v>
      </c>
    </row>
    <row r="5" spans="1:3" ht="17.850000000000001" customHeight="1">
      <c r="A5" s="14">
        <v>4</v>
      </c>
      <c r="B5" s="15"/>
      <c r="C5" s="16">
        <v>1477.79187</v>
      </c>
    </row>
    <row r="6" spans="1:3" ht="17.850000000000001" customHeight="1">
      <c r="A6" s="14">
        <v>5</v>
      </c>
      <c r="B6" s="15"/>
      <c r="C6" s="16">
        <v>1783.7381600000001</v>
      </c>
    </row>
    <row r="7" spans="1:3" ht="18.600000000000001" customHeight="1">
      <c r="A7" s="14">
        <v>6</v>
      </c>
      <c r="B7" s="15"/>
      <c r="C7" s="16">
        <v>1343.7876000000001</v>
      </c>
    </row>
    <row r="8" spans="1:3" ht="18.2" customHeight="1">
      <c r="A8" s="14">
        <v>7</v>
      </c>
      <c r="B8" s="15"/>
      <c r="C8" s="16">
        <v>1515.9801</v>
      </c>
    </row>
    <row r="9" spans="1:3" ht="17.850000000000001" customHeight="1">
      <c r="A9" s="14">
        <v>8</v>
      </c>
      <c r="B9" s="15"/>
      <c r="C9" s="16">
        <v>1743.52234</v>
      </c>
    </row>
    <row r="10" spans="1:3" ht="17.850000000000001" customHeight="1">
      <c r="A10" s="14">
        <v>9</v>
      </c>
      <c r="B10" s="15"/>
      <c r="C10" s="16">
        <v>1653.7329099999999</v>
      </c>
    </row>
    <row r="11" spans="1:3" ht="17.850000000000001" customHeight="1">
      <c r="A11" s="17">
        <v>10</v>
      </c>
      <c r="B11" s="15"/>
      <c r="C11" s="16">
        <v>1453.60571</v>
      </c>
    </row>
    <row r="12" spans="1:3" ht="17.850000000000001" customHeight="1">
      <c r="A12" s="17">
        <v>11</v>
      </c>
      <c r="B12" s="15"/>
      <c r="C12" s="16">
        <v>1355.41589</v>
      </c>
    </row>
    <row r="13" spans="1:3" ht="17.850000000000001" customHeight="1">
      <c r="A13" s="17">
        <v>12</v>
      </c>
      <c r="B13" s="15"/>
      <c r="C13" s="16">
        <v>1496.04736</v>
      </c>
    </row>
    <row r="14" spans="1:3" ht="17.850000000000001" customHeight="1">
      <c r="A14" s="17">
        <v>13</v>
      </c>
      <c r="B14" s="15"/>
      <c r="C14" s="16">
        <v>1768.0739699999999</v>
      </c>
    </row>
    <row r="15" spans="1:3" ht="17.850000000000001" customHeight="1">
      <c r="A15" s="17">
        <v>14</v>
      </c>
      <c r="B15" s="15"/>
      <c r="C15" s="16">
        <v>1509.42346</v>
      </c>
    </row>
    <row r="16" spans="1:3" ht="17.850000000000001" customHeight="1">
      <c r="A16" s="17">
        <v>15</v>
      </c>
      <c r="B16" s="15"/>
      <c r="C16" s="16">
        <v>1763.8551</v>
      </c>
    </row>
    <row r="17" spans="1:3" ht="17.850000000000001" customHeight="1">
      <c r="A17" s="17">
        <v>16</v>
      </c>
      <c r="B17" s="15"/>
      <c r="C17" s="16">
        <v>1695.3487500000001</v>
      </c>
    </row>
    <row r="18" spans="1:3" ht="17.850000000000001" customHeight="1">
      <c r="A18" s="18" t="s">
        <v>90</v>
      </c>
      <c r="B18" s="15"/>
      <c r="C18" s="16">
        <v>1560.2613799999999</v>
      </c>
    </row>
    <row r="19" spans="1:3" ht="17.850000000000001" customHeight="1">
      <c r="A19" s="18" t="s">
        <v>91</v>
      </c>
      <c r="B19" s="15"/>
      <c r="C19" s="16">
        <v>1512.7017800000001</v>
      </c>
    </row>
    <row r="20" spans="1:3" ht="17.850000000000001" customHeight="1">
      <c r="A20" s="18" t="s">
        <v>92</v>
      </c>
      <c r="B20" s="15"/>
      <c r="C20" s="16">
        <v>1792.1097400000001</v>
      </c>
    </row>
    <row r="21" spans="1:3" ht="17.850000000000001" customHeight="1">
      <c r="A21" s="18" t="s">
        <v>93</v>
      </c>
      <c r="B21" s="15"/>
      <c r="C21" s="16">
        <v>1295.88599</v>
      </c>
    </row>
    <row r="22" spans="1:3" ht="35.85" customHeight="1">
      <c r="A22" s="19" t="s">
        <v>94</v>
      </c>
      <c r="B22" s="20"/>
      <c r="C22" s="16">
        <v>181.51123999999999</v>
      </c>
    </row>
    <row r="23" spans="1:3" ht="36" customHeight="1">
      <c r="A23" s="19" t="s">
        <v>95</v>
      </c>
      <c r="B23" s="20"/>
      <c r="C23" s="16">
        <v>11.63339</v>
      </c>
    </row>
    <row r="24" spans="1:3" ht="14.1" customHeight="1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GERARDO ARDILA</dc:creator>
  <cp:keywords/>
  <dc:description/>
  <cp:lastModifiedBy/>
  <cp:revision/>
  <dcterms:created xsi:type="dcterms:W3CDTF">2024-03-26T20:10:52Z</dcterms:created>
  <dcterms:modified xsi:type="dcterms:W3CDTF">2024-12-04T14:32:56Z</dcterms:modified>
  <cp:category/>
  <cp:contentStatus/>
</cp:coreProperties>
</file>