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slicers/slicer1.xml" ContentType="application/vnd.ms-excel.slicer+xml"/>
  <Override PartName="/xl/charts/chart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3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12"/>
  <workbookPr hidePivotFieldList="1"/>
  <mc:AlternateContent xmlns:mc="http://schemas.openxmlformats.org/markup-compatibility/2006">
    <mc:Choice Requires="x15">
      <x15ac:absPath xmlns:x15ac="http://schemas.microsoft.com/office/spreadsheetml/2010/11/ac" url="https://unicoceduco-my.sharepoint.com/personal/direccionbiblioteca_unicoc_edu_co/Documents/SIBU/Administración/Gestion Repositorio/Poblamiento de RI-Unicoc/Inventario Trabajos de grado/BOGOTÁ/COC/Prostodoncia/TPR 121/Zirconio Tipo II/"/>
    </mc:Choice>
  </mc:AlternateContent>
  <xr:revisionPtr revIDLastSave="0" documentId="13_ncr:1_{B267CE07-425C-4356-BD2C-2B782809DE78}" xr6:coauthVersionLast="47" xr6:coauthVersionMax="47" xr10:uidLastSave="{00000000-0000-0000-0000-000000000000}"/>
  <bookViews>
    <workbookView xWindow="-120" yWindow="-120" windowWidth="20730" windowHeight="11160" firstSheet="6" activeTab="6" xr2:uid="{B2556F3B-96F1-46C5-BB93-2F5AA62ACA4F}"/>
  </bookViews>
  <sheets>
    <sheet name="RESULTADSO" sheetId="6" r:id="rId1"/>
    <sheet name="objetivos" sheetId="4" r:id="rId2"/>
    <sheet name="DASHBOARD" sheetId="9" r:id="rId3"/>
    <sheet name="TABLA CASAS" sheetId="8" r:id="rId4"/>
    <sheet name="Hoja4" sheetId="10" r:id="rId5"/>
    <sheet name="Hoja5" sheetId="11" r:id="rId6"/>
    <sheet name="Muestra" sheetId="12" r:id="rId7"/>
    <sheet name="TABLAS" sheetId="7" r:id="rId8"/>
    <sheet name="BASE" sheetId="5" r:id="rId9"/>
    <sheet name=" Zirconia Tipo II Aid" sheetId="1" r:id="rId10"/>
    <sheet name="Zirconia Tipo II UPCERA" sheetId="2" r:id="rId11"/>
    <sheet name="Zirconia Tipo II Sagemax" sheetId="3" r:id="rId12"/>
  </sheets>
  <externalReferences>
    <externalReference r:id="rId13"/>
  </externalReferences>
  <definedNames>
    <definedName name="_xlchart.v1.0" hidden="1">BASE!$B$1</definedName>
    <definedName name="_xlchart.v1.1" hidden="1">BASE!$B$2:$B$17</definedName>
    <definedName name="_xlchart.v1.2" hidden="1">BASE!$C$1</definedName>
    <definedName name="_xlchart.v1.3" hidden="1">BASE!$C$2:$C$17</definedName>
    <definedName name="_xlchart.v1.4" hidden="1">BASE!$D$1</definedName>
    <definedName name="_xlchart.v1.5" hidden="1">BASE!$D$2:$D$17</definedName>
    <definedName name="SegmentaciónDeDatos_AID_CARGA_N">#N/A</definedName>
    <definedName name="SegmentaciónDeDatos_CASA">#N/A</definedName>
    <definedName name="SegmentaciónDeDatos_SAGEMAX__CARGA_N">#N/A</definedName>
    <definedName name="SegmentaciónDeDatos_UPCERA__CARGA_N">#N/A</definedName>
  </definedNames>
  <calcPr calcId="191028"/>
  <pivotCaches>
    <pivotCache cacheId="5563" r:id="rId14"/>
  </pivotCaches>
  <extLst>
    <ext xmlns:x14="http://schemas.microsoft.com/office/spreadsheetml/2009/9/main" uri="{BBE1A952-AA13-448e-AADC-164F8A28A991}">
      <x14:slicerCaches>
        <x14:slicerCache r:id="rId15"/>
        <x14:slicerCache r:id="rId16"/>
        <x14:slicerCache r:id="rId17"/>
        <x14:slicerCache r:id="rId18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M13" i="7" l="1"/>
  <c r="AO13" i="7"/>
  <c r="AM14" i="7"/>
  <c r="AO14" i="7"/>
  <c r="AO12" i="7"/>
  <c r="AM12" i="7"/>
  <c r="AL14" i="7"/>
  <c r="AK14" i="7"/>
  <c r="AJ14" i="7"/>
  <c r="AI14" i="7"/>
  <c r="AL13" i="7"/>
  <c r="AK13" i="7"/>
  <c r="AJ13" i="7"/>
  <c r="AI13" i="7"/>
  <c r="AL12" i="7"/>
  <c r="AK12" i="7"/>
  <c r="AJ12" i="7"/>
  <c r="AI12" i="7"/>
  <c r="AK9" i="7"/>
  <c r="AL8" i="7"/>
  <c r="AK8" i="7"/>
  <c r="AI8" i="7"/>
  <c r="AL7" i="7"/>
  <c r="AK7" i="7"/>
  <c r="AI7" i="7"/>
  <c r="AL6" i="7"/>
  <c r="AK6" i="7"/>
  <c r="AI6" i="7"/>
  <c r="AB13" i="7"/>
  <c r="AC13" i="7"/>
  <c r="AD13" i="7"/>
  <c r="AF13" i="7"/>
  <c r="AG13" i="7"/>
  <c r="AB14" i="7"/>
  <c r="AC14" i="7"/>
  <c r="AD14" i="7"/>
  <c r="AF14" i="7"/>
  <c r="AG14" i="7"/>
  <c r="AG12" i="7"/>
  <c r="AF12" i="7"/>
  <c r="AD12" i="7"/>
  <c r="AC12" i="7"/>
  <c r="AB12" i="7"/>
  <c r="AA14" i="7"/>
  <c r="Z14" i="7"/>
  <c r="Y14" i="7"/>
  <c r="X14" i="7"/>
  <c r="AA13" i="7"/>
  <c r="Z13" i="7"/>
  <c r="Y13" i="7"/>
  <c r="X13" i="7"/>
  <c r="AA12" i="7"/>
  <c r="Z12" i="7"/>
  <c r="Y12" i="7"/>
  <c r="X12" i="7"/>
  <c r="AB9" i="7"/>
  <c r="AA9" i="7"/>
  <c r="Z9" i="7"/>
  <c r="AA8" i="7"/>
  <c r="Z8" i="7"/>
  <c r="Y8" i="7"/>
  <c r="X8" i="7"/>
  <c r="AA7" i="7"/>
  <c r="Z7" i="7"/>
  <c r="Y7" i="7"/>
  <c r="X7" i="7"/>
  <c r="AA6" i="7"/>
  <c r="Z6" i="7"/>
  <c r="Y6" i="7"/>
  <c r="X6" i="7"/>
  <c r="V16" i="7"/>
  <c r="V14" i="7"/>
  <c r="V13" i="7"/>
  <c r="V11" i="7"/>
  <c r="V10" i="7"/>
  <c r="V9" i="7"/>
  <c r="T9" i="7"/>
  <c r="T10" i="7" s="1"/>
  <c r="U9" i="7"/>
  <c r="U10" i="7" s="1"/>
  <c r="S10" i="7"/>
  <c r="S9" i="7"/>
  <c r="T7" i="7"/>
  <c r="U7" i="7"/>
  <c r="S7" i="7"/>
  <c r="T6" i="7"/>
  <c r="U6" i="7"/>
  <c r="S6" i="7"/>
  <c r="K16" i="7"/>
  <c r="J16" i="7"/>
  <c r="J15" i="7" s="1"/>
  <c r="K15" i="7" s="1"/>
  <c r="I16" i="7"/>
  <c r="I14" i="7" s="1"/>
  <c r="N14" i="7" s="1"/>
  <c r="I15" i="7"/>
  <c r="J14" i="7"/>
  <c r="M10" i="7"/>
  <c r="L10" i="7"/>
  <c r="K10" i="7"/>
  <c r="J10" i="7"/>
  <c r="I10" i="7"/>
  <c r="H10" i="7"/>
  <c r="M9" i="7"/>
  <c r="L9" i="7"/>
  <c r="K9" i="7"/>
  <c r="J9" i="7"/>
  <c r="I9" i="7"/>
  <c r="H9" i="7"/>
  <c r="M8" i="7"/>
  <c r="L8" i="7"/>
  <c r="K8" i="7"/>
  <c r="J8" i="7"/>
  <c r="I8" i="7"/>
  <c r="H8" i="7"/>
  <c r="Z34" i="5"/>
  <c r="AE34" i="5"/>
  <c r="Z35" i="5"/>
  <c r="AE35" i="5"/>
  <c r="AE33" i="5"/>
  <c r="Z33" i="5"/>
  <c r="Y35" i="5"/>
  <c r="X35" i="5"/>
  <c r="W35" i="5"/>
  <c r="V35" i="5"/>
  <c r="Y34" i="5"/>
  <c r="X34" i="5"/>
  <c r="W34" i="5"/>
  <c r="V34" i="5"/>
  <c r="Y33" i="5"/>
  <c r="X33" i="5"/>
  <c r="W33" i="5"/>
  <c r="V33" i="5"/>
  <c r="Z30" i="5"/>
  <c r="Y30" i="5"/>
  <c r="X30" i="5"/>
  <c r="Y29" i="5"/>
  <c r="X29" i="5"/>
  <c r="W29" i="5"/>
  <c r="V29" i="5"/>
  <c r="Y28" i="5"/>
  <c r="X28" i="5"/>
  <c r="W28" i="5"/>
  <c r="V28" i="5"/>
  <c r="Y27" i="5"/>
  <c r="X27" i="5"/>
  <c r="W27" i="5"/>
  <c r="V27" i="5"/>
  <c r="O37" i="5"/>
  <c r="N37" i="5"/>
  <c r="N36" i="5" s="1"/>
  <c r="O36" i="5" s="1"/>
  <c r="M37" i="5"/>
  <c r="M36" i="5"/>
  <c r="O35" i="5"/>
  <c r="N35" i="5"/>
  <c r="M35" i="5"/>
  <c r="R35" i="5" s="1"/>
  <c r="Q31" i="5"/>
  <c r="P31" i="5"/>
  <c r="O31" i="5"/>
  <c r="N31" i="5"/>
  <c r="M31" i="5"/>
  <c r="L31" i="5"/>
  <c r="Q30" i="5"/>
  <c r="P30" i="5"/>
  <c r="O30" i="5"/>
  <c r="N30" i="5"/>
  <c r="M30" i="5"/>
  <c r="L30" i="5"/>
  <c r="Q29" i="5"/>
  <c r="P29" i="5"/>
  <c r="O29" i="5"/>
  <c r="N29" i="5"/>
  <c r="M29" i="5"/>
  <c r="L29" i="5"/>
  <c r="M4" i="5"/>
  <c r="N4" i="5"/>
  <c r="L4" i="5"/>
  <c r="H5" i="5"/>
  <c r="I5" i="5"/>
  <c r="H6" i="5"/>
  <c r="I6" i="5"/>
  <c r="H7" i="5"/>
  <c r="I7" i="5"/>
  <c r="H8" i="5"/>
  <c r="I8" i="5"/>
  <c r="H9" i="5"/>
  <c r="I9" i="5"/>
  <c r="H10" i="5"/>
  <c r="I10" i="5"/>
  <c r="H11" i="5"/>
  <c r="I11" i="5"/>
  <c r="H12" i="5"/>
  <c r="I12" i="5"/>
  <c r="H14" i="5"/>
  <c r="I14" i="5"/>
  <c r="H15" i="5"/>
  <c r="I15" i="5"/>
  <c r="H16" i="5"/>
  <c r="I16" i="5"/>
  <c r="H17" i="5"/>
  <c r="I17" i="5"/>
  <c r="H18" i="5"/>
  <c r="I18" i="5"/>
  <c r="H19" i="5"/>
  <c r="I19" i="5"/>
  <c r="H20" i="5"/>
  <c r="I20" i="5"/>
  <c r="G20" i="5"/>
  <c r="G19" i="5"/>
  <c r="G18" i="5"/>
  <c r="G17" i="5"/>
  <c r="G16" i="5"/>
  <c r="G15" i="5"/>
  <c r="G14" i="5"/>
  <c r="G13" i="5" s="1"/>
  <c r="G12" i="5"/>
  <c r="G11" i="5"/>
  <c r="G10" i="5"/>
  <c r="G9" i="5"/>
  <c r="G8" i="5"/>
  <c r="G7" i="5"/>
  <c r="G6" i="5"/>
  <c r="G5" i="5"/>
  <c r="H4" i="5"/>
  <c r="I4" i="5"/>
  <c r="G4" i="5"/>
  <c r="AN13" i="7"/>
  <c r="AN14" i="7"/>
  <c r="AN12" i="7"/>
  <c r="AM9" i="7"/>
  <c r="AJ8" i="7"/>
  <c r="AJ7" i="7"/>
  <c r="AJ6" i="7"/>
  <c r="AE14" i="7"/>
  <c r="AE13" i="7"/>
  <c r="AE12" i="7"/>
  <c r="AC9" i="7"/>
  <c r="V12" i="7"/>
  <c r="U8" i="7"/>
  <c r="T8" i="7"/>
  <c r="S8" i="7"/>
  <c r="L12" i="5"/>
  <c r="G21" i="5"/>
  <c r="AC33" i="5"/>
  <c r="L13" i="5"/>
  <c r="N5" i="5"/>
  <c r="N12" i="5"/>
  <c r="M5" i="5"/>
  <c r="M12" i="5"/>
  <c r="L5" i="5"/>
  <c r="I21" i="5"/>
  <c r="AA30" i="5"/>
  <c r="M13" i="5"/>
  <c r="M6" i="5"/>
  <c r="H21" i="5"/>
  <c r="H22" i="5"/>
  <c r="G22" i="5"/>
  <c r="N6" i="5"/>
  <c r="L6" i="5"/>
  <c r="AC35" i="5"/>
  <c r="AC34" i="5"/>
  <c r="N13" i="5"/>
  <c r="I22" i="5"/>
  <c r="N8" i="7" l="1"/>
  <c r="O14" i="7"/>
  <c r="P14" i="7"/>
  <c r="N10" i="7"/>
  <c r="N9" i="7"/>
  <c r="O9" i="7" s="1"/>
  <c r="P10" i="7"/>
  <c r="O8" i="7"/>
  <c r="O10" i="7"/>
  <c r="P8" i="7"/>
  <c r="K14" i="7"/>
  <c r="L14" i="7" s="1"/>
  <c r="M14" i="7" s="1"/>
  <c r="AD35" i="5"/>
  <c r="AA34" i="5"/>
  <c r="AB34" i="5"/>
  <c r="AD34" i="5"/>
  <c r="AD33" i="5"/>
  <c r="AB33" i="5"/>
  <c r="AA33" i="5"/>
  <c r="AA35" i="5"/>
  <c r="AB35" i="5"/>
  <c r="R31" i="5"/>
  <c r="T31" i="5" s="1"/>
  <c r="S35" i="5"/>
  <c r="R29" i="5"/>
  <c r="T29" i="5" s="1"/>
  <c r="R30" i="5"/>
  <c r="T30" i="5" s="1"/>
  <c r="P35" i="5"/>
  <c r="Q35" i="5" s="1"/>
  <c r="S29" i="5"/>
  <c r="T35" i="5"/>
  <c r="S31" i="5"/>
  <c r="L8" i="5"/>
  <c r="L15" i="5"/>
  <c r="I13" i="5"/>
  <c r="H13" i="5"/>
  <c r="N15" i="5"/>
  <c r="M15" i="5"/>
  <c r="N8" i="5"/>
  <c r="M8" i="5"/>
  <c r="P9" i="7" l="1"/>
  <c r="S30" i="5"/>
</calcChain>
</file>

<file path=xl/sharedStrings.xml><?xml version="1.0" encoding="utf-8"?>
<sst xmlns="http://schemas.openxmlformats.org/spreadsheetml/2006/main" count="262" uniqueCount="117">
  <si>
    <t>PRUEBA</t>
  </si>
  <si>
    <t>OBJETIVO</t>
  </si>
  <si>
    <t>AID CARGA(N)</t>
  </si>
  <si>
    <t>UPCERA  CARGA(N)</t>
  </si>
  <si>
    <t>SAGEMAX  CARGA(N)</t>
  </si>
  <si>
    <t>ANALISIS EXPLORATORIO DE DATOS</t>
  </si>
  <si>
    <t>DESCRIBIR LA MUESTRA</t>
  </si>
  <si>
    <t>n</t>
  </si>
  <si>
    <t>dÁgostino</t>
  </si>
  <si>
    <t>Deterrminar si los datso presentan distribución Normal</t>
  </si>
  <si>
    <t>Mean</t>
  </si>
  <si>
    <t>ANOVA</t>
  </si>
  <si>
    <t>Comparar la resistencia de las 3 casas</t>
  </si>
  <si>
    <t>Standard Error</t>
  </si>
  <si>
    <t>Software: Real Statitististics V9 de Feb 2024</t>
  </si>
  <si>
    <t>Median</t>
  </si>
  <si>
    <t>Maximum</t>
  </si>
  <si>
    <t>Minimum</t>
  </si>
  <si>
    <t>IQR</t>
  </si>
  <si>
    <t>p-value</t>
  </si>
  <si>
    <t>ANOVA: Single Factor</t>
  </si>
  <si>
    <t>anailiis: no hay diferencaoi en la resietncai de las 3 casas</t>
  </si>
  <si>
    <t>6. OBJETIVOS</t>
  </si>
  <si>
    <t xml:space="preserve">6.1 OBJETIVO GENERAL </t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</si>
  <si>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2"/>
        <color theme="1"/>
        <rFont val="Arial"/>
        <family val="2"/>
      </rPr>
      <t>Determinar la resistencia compresiva de coronas de zirconio tipo II 3Y-TZP para molares entre las casas comerciales Upcera, Aidite y Sagemax con una máquina de ensayos mecánicos universales.</t>
    </r>
  </si>
  <si>
    <t>6.2 OBJETIVOS ESPECÍFICOS</t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</si>
  <si>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2"/>
        <color theme="1"/>
        <rFont val="Arial"/>
        <family val="2"/>
      </rPr>
      <t>Identificar la resistencia compresiva que presentan las coronas de zirconio II 3Y-TZP de cada una de las casas comerciales Upcera, Aidite y Sagemax al ser sometidas a una prueba de resistencia compresiva de un punto.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</si>
  <si>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2"/>
        <color theme="1"/>
        <rFont val="Arial"/>
        <family val="2"/>
      </rPr>
      <t>Comparar los valores obtenidos en la prueba de la resistencia compresiva de coronas de zirconio tipo II 3Y-TZP para molares de las casas Upcera, Aidite y Sagemax con una máquina de ensayos mecánicos universales</t>
    </r>
  </si>
  <si>
    <t xml:space="preserve">COMPARACION DE LA RESISTENCIA FLEXURAL DE 3 CASAS DIFERENTES </t>
  </si>
  <si>
    <t>Etiquetas de fila</t>
  </si>
  <si>
    <t>Promedio de AID CARGA(N)</t>
  </si>
  <si>
    <t>CASA 1</t>
  </si>
  <si>
    <t>CASA 2</t>
  </si>
  <si>
    <t>CASA3</t>
  </si>
  <si>
    <t>Total general</t>
  </si>
  <si>
    <t>Promedio de UPCERA  CARGA(N)</t>
  </si>
  <si>
    <t>Promedio de SAGEMAX  CARGA(N)</t>
  </si>
  <si>
    <t>Efecto de error 0.6</t>
  </si>
  <si>
    <t>Potencia 80%</t>
  </si>
  <si>
    <t>Confianza 95%</t>
  </si>
  <si>
    <t>Tamaño de la muestra 15 por grupo</t>
  </si>
  <si>
    <t>Se tomaron 16 para minimizar el efecto de error</t>
  </si>
  <si>
    <t>se urilizo el software real Statistics v9 en marzo 2024</t>
  </si>
  <si>
    <t>NUMERO MUESTRA</t>
  </si>
  <si>
    <t>CASA</t>
  </si>
  <si>
    <t>Kruskal-Wallis Test</t>
  </si>
  <si>
    <t>TUKEY HSD/KRAMER</t>
  </si>
  <si>
    <t>alpha</t>
  </si>
  <si>
    <t>NEMENYI TEST</t>
  </si>
  <si>
    <t>group</t>
  </si>
  <si>
    <t>mean</t>
  </si>
  <si>
    <t>ss</t>
  </si>
  <si>
    <t>df</t>
  </si>
  <si>
    <t>q-crit</t>
  </si>
  <si>
    <t>R sum</t>
  </si>
  <si>
    <t>size</t>
  </si>
  <si>
    <t>R mean</t>
  </si>
  <si>
    <t>DESCRIPTION</t>
  </si>
  <si>
    <t>Alpha</t>
  </si>
  <si>
    <t>Group</t>
  </si>
  <si>
    <t>Count</t>
  </si>
  <si>
    <t>Sum</t>
  </si>
  <si>
    <t>Variance</t>
  </si>
  <si>
    <t>SS</t>
  </si>
  <si>
    <t>Std Err</t>
  </si>
  <si>
    <t>Lower</t>
  </si>
  <si>
    <t>Upper</t>
  </si>
  <si>
    <t>median</t>
  </si>
  <si>
    <t>rank sum</t>
  </si>
  <si>
    <t>count</t>
  </si>
  <si>
    <t>r^2/n</t>
  </si>
  <si>
    <t>Q TEST</t>
  </si>
  <si>
    <t>H-stat</t>
  </si>
  <si>
    <t>group 1</t>
  </si>
  <si>
    <t>group 2</t>
  </si>
  <si>
    <t>std err</t>
  </si>
  <si>
    <t>q-stat</t>
  </si>
  <si>
    <t>lower</t>
  </si>
  <si>
    <t>upper</t>
  </si>
  <si>
    <t>mean-crit</t>
  </si>
  <si>
    <t>Cohen d</t>
  </si>
  <si>
    <t>R-crit</t>
  </si>
  <si>
    <t>H-ties</t>
  </si>
  <si>
    <t>Sources</t>
  </si>
  <si>
    <t>MS</t>
  </si>
  <si>
    <t>F</t>
  </si>
  <si>
    <t>P value</t>
  </si>
  <si>
    <t>Eta-sq</t>
  </si>
  <si>
    <t>RMSSE</t>
  </si>
  <si>
    <t>Omega Sq</t>
  </si>
  <si>
    <t>Between Groups</t>
  </si>
  <si>
    <t>Within Groups</t>
  </si>
  <si>
    <t>Total</t>
  </si>
  <si>
    <t>sig</t>
  </si>
  <si>
    <t>Descriptive Statistics</t>
  </si>
  <si>
    <t>Shapiro-Wilk Test</t>
  </si>
  <si>
    <t>W-stat</t>
  </si>
  <si>
    <t>Mode</t>
  </si>
  <si>
    <t>normal</t>
  </si>
  <si>
    <t>Standard Deviation</t>
  </si>
  <si>
    <t>Sample Variance</t>
  </si>
  <si>
    <t>d'Agostino-Pearson</t>
  </si>
  <si>
    <t>Kurtosis</t>
  </si>
  <si>
    <t>Skewness</t>
  </si>
  <si>
    <t>DA-stat</t>
  </si>
  <si>
    <t>Range</t>
  </si>
  <si>
    <t>Geometric Mean</t>
  </si>
  <si>
    <t>Harmonic Mean</t>
  </si>
  <si>
    <t>AAD</t>
  </si>
  <si>
    <t>MAD</t>
  </si>
  <si>
    <t>MAXIMO CARGA(N)</t>
  </si>
  <si>
    <t>MEDIA</t>
  </si>
  <si>
    <t>MEDIANA</t>
  </si>
  <si>
    <t>MAXIMO</t>
  </si>
  <si>
    <t>MINIMO</t>
  </si>
  <si>
    <t>DESVIACION ESTANDAR</t>
  </si>
  <si>
    <t>COHEFICIENTE DE VARIACION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</si>
</sst>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0.0"/>
    <numFmt numFmtId="165" formatCode="0.00000"/>
  </numFmts>
  <fonts count="8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1"/>
      <name val="Arial"/>
      <family val="2"/>
    </font>
    <font>
      <sz val="12"/>
      <color theme="1"/>
      <name val="Symbol"/>
      <family val="1"/>
      <charset val="2"/>
    </font>
    <font>
      <sz val="7"/>
      <color theme="1"/>
      <name val="Times New Roman"/>
      <family val="1"/>
    </font>
    <font>
      <sz val="12"/>
      <color theme="1"/>
      <name val="Arial"/>
      <family val="2"/>
    </font>
    <font>
      <i/>
      <sz val="11"/>
      <color theme="1"/>
      <name val="Aptos Narrow"/>
      <family val="2"/>
      <scheme val="minor"/>
    </font>
    <font>
      <sz val="20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justify" vertical="center"/>
    </xf>
    <xf numFmtId="0" fontId="3" fillId="0" borderId="0" xfId="0" applyFont="1" applyAlignment="1">
      <alignment horizontal="justify" vertical="center"/>
    </xf>
    <xf numFmtId="0" fontId="5" fillId="0" borderId="0" xfId="0" applyFont="1" applyAlignment="1">
      <alignment horizontal="justify" vertical="center"/>
    </xf>
    <xf numFmtId="0" fontId="0" fillId="0" borderId="1" xfId="0" applyBorder="1"/>
    <xf numFmtId="0" fontId="6" fillId="0" borderId="1" xfId="0" applyFont="1" applyBorder="1" applyAlignment="1">
      <alignment horizontal="center"/>
    </xf>
    <xf numFmtId="0" fontId="0" fillId="0" borderId="1" xfId="0" applyBorder="1" applyAlignment="1">
      <alignment horizontal="right"/>
    </xf>
    <xf numFmtId="0" fontId="0" fillId="0" borderId="2" xfId="0" applyBorder="1"/>
    <xf numFmtId="0" fontId="6" fillId="0" borderId="3" xfId="0" applyFont="1" applyBorder="1" applyAlignment="1">
      <alignment horizontal="center"/>
    </xf>
    <xf numFmtId="0" fontId="0" fillId="0" borderId="4" xfId="0" applyBorder="1"/>
    <xf numFmtId="0" fontId="0" fillId="2" borderId="4" xfId="0" applyFill="1" applyBorder="1"/>
    <xf numFmtId="0" fontId="0" fillId="2" borderId="4" xfId="0" applyFill="1" applyBorder="1" applyAlignment="1">
      <alignment horizontal="center" wrapText="1"/>
    </xf>
    <xf numFmtId="164" fontId="0" fillId="0" borderId="4" xfId="0" applyNumberFormat="1" applyBorder="1"/>
    <xf numFmtId="165" fontId="0" fillId="0" borderId="4" xfId="0" applyNumberFormat="1" applyBorder="1"/>
    <xf numFmtId="0" fontId="1" fillId="3" borderId="0" xfId="0" applyFont="1" applyFill="1"/>
    <xf numFmtId="0" fontId="0" fillId="0" borderId="0" xfId="0" pivotButton="1"/>
    <xf numFmtId="0" fontId="0" fillId="0" borderId="0" xfId="0" applyAlignment="1">
      <alignment horizontal="left"/>
    </xf>
    <xf numFmtId="0" fontId="0" fillId="4" borderId="0" xfId="0" applyFill="1"/>
    <xf numFmtId="0" fontId="7" fillId="4" borderId="0" xfId="0" applyFont="1" applyFill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 applyAlignment="1">
      <alignment horizontal="right"/>
    </xf>
    <xf numFmtId="0" fontId="0" fillId="5" borderId="0" xfId="0" applyFill="1"/>
  </cellXfs>
  <cellStyles count="1">
    <cellStyle name="Normal" xfId="0" builtinId="0"/>
  </cellStyles>
  <dxfs count="10"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1" defaultTableStyle="TableStyleMedium2" defaultPivotStyle="PivotStyleLight16">
    <tableStyle name="Invisible" pivot="0" table="0" count="0" xr9:uid="{4AF0F411-150D-4A7A-A12D-CF9402886012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microsoft.com/office/2007/relationships/slicerCache" Target="slicerCaches/slicerCache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microsoft.com/office/2007/relationships/slicerCache" Target="slicerCaches/slicerCache3.xml"/><Relationship Id="rId2" Type="http://schemas.openxmlformats.org/officeDocument/2006/relationships/worksheet" Target="worksheets/sheet2.xml"/><Relationship Id="rId16" Type="http://schemas.microsoft.com/office/2007/relationships/slicerCache" Target="slicerCaches/slicerCache2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microsoft.com/office/2007/relationships/slicerCache" Target="slicerCaches/slicerCache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Relationship Id="rId22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[TPR-121_20241_Pr_Dataset_ Zirconio Tipo II.xlsx]TABLA CASAS!TablaDinámica6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CASA POR</a:t>
            </a:r>
            <a:r>
              <a:rPr lang="en-US" baseline="0"/>
              <a:t> AID</a:t>
            </a:r>
            <a:endParaRPr lang="en-US"/>
          </a:p>
        </c:rich>
      </c:tx>
      <c:layout>
        <c:manualLayout>
          <c:xMode val="edge"/>
          <c:yMode val="edge"/>
          <c:x val="0.41840181426337808"/>
          <c:y val="4.99052201808107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3">
              <a:lumMod val="75000"/>
            </a:schemeClr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rgbClr val="0070C0"/>
          </a:solidFill>
          <a:ln>
            <a:noFill/>
          </a:ln>
          <a:effectLst/>
        </c:spPr>
      </c:pivotFmt>
      <c:pivotFmt>
        <c:idx val="10"/>
        <c:spPr>
          <a:solidFill>
            <a:schemeClr val="accent2">
              <a:lumMod val="60000"/>
              <a:lumOff val="40000"/>
            </a:schemeClr>
          </a:solidFill>
          <a:ln>
            <a:noFill/>
          </a:ln>
          <a:effectLst/>
        </c:spPr>
      </c:pivotFmt>
      <c:pivotFmt>
        <c:idx val="11"/>
        <c:spPr>
          <a:solidFill>
            <a:srgbClr val="00B050"/>
          </a:solidFill>
          <a:ln>
            <a:noFill/>
          </a:ln>
          <a:effectLst/>
        </c:spPr>
      </c:pivotFmt>
    </c:pivotFmts>
    <c:plotArea>
      <c:layout>
        <c:manualLayout>
          <c:layoutTarget val="inner"/>
          <c:xMode val="edge"/>
          <c:yMode val="edge"/>
          <c:x val="0.2547083045746294"/>
          <c:y val="0.18879410906969962"/>
          <c:w val="0.60322754825593139"/>
          <c:h val="0.7005679498396033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'TABLA CASAS'!$B$3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70C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CA9-40F3-8054-BF914C442810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8CA9-40F3-8054-BF914C442810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8CA9-40F3-8054-BF914C44281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CASAS'!$A$4:$A$7</c:f>
              <c:strCache>
                <c:ptCount val="3"/>
                <c:pt idx="0">
                  <c:v>CASA 1</c:v>
                </c:pt>
                <c:pt idx="1">
                  <c:v>CASA 2</c:v>
                </c:pt>
                <c:pt idx="2">
                  <c:v>CASA3</c:v>
                </c:pt>
              </c:strCache>
            </c:strRef>
          </c:cat>
          <c:val>
            <c:numRef>
              <c:f>'TABLA CASAS'!$B$4:$B$7</c:f>
              <c:numCache>
                <c:formatCode>General</c:formatCode>
                <c:ptCount val="3"/>
                <c:pt idx="0">
                  <c:v>1654.0638216666666</c:v>
                </c:pt>
                <c:pt idx="1">
                  <c:v>1960.1724380000001</c:v>
                </c:pt>
                <c:pt idx="2">
                  <c:v>1923.9792259999999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A9-40F3-8054-BF914C4428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10956432"/>
        <c:axId val="1951006576"/>
      </c:barChart>
      <c:catAx>
        <c:axId val="1610956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51006576"/>
        <c:crosses val="autoZero"/>
        <c:auto val="1"/>
        <c:lblAlgn val="ctr"/>
        <c:lblOffset val="100"/>
        <c:noMultiLvlLbl val="0"/>
      </c:catAx>
      <c:valAx>
        <c:axId val="1951006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10956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[TPR-121_20241_Pr_Dataset_ Zirconio Tipo II.xlsx]Hoja4!TablaDinámica7</c:name>
    <c:fmtId val="3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CASA POR UPCERA</a:t>
            </a:r>
          </a:p>
        </c:rich>
      </c:tx>
      <c:layout>
        <c:manualLayout>
          <c:xMode val="edge"/>
          <c:yMode val="edge"/>
          <c:x val="0.4492082239720035"/>
          <c:y val="5.916447944006999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rgbClr val="0070C0"/>
          </a:solidFill>
          <a:ln>
            <a:noFill/>
          </a:ln>
          <a:effectLst/>
        </c:spPr>
      </c:pivotFmt>
      <c:pivotFmt>
        <c:idx val="4"/>
        <c:spPr>
          <a:solidFill>
            <a:schemeClr val="accent2">
              <a:lumMod val="60000"/>
              <a:lumOff val="40000"/>
            </a:schemeClr>
          </a:solidFill>
          <a:ln>
            <a:noFill/>
          </a:ln>
          <a:effectLst/>
        </c:spPr>
      </c:pivotFmt>
      <c:pivotFmt>
        <c:idx val="5"/>
        <c:spPr>
          <a:solidFill>
            <a:srgbClr val="00B050"/>
          </a:solidFill>
          <a:ln>
            <a:noFill/>
          </a:ln>
          <a:effectLst/>
        </c:spPr>
      </c:pivotFmt>
    </c:pivotFmts>
    <c:plotArea>
      <c:layout>
        <c:manualLayout>
          <c:layoutTarget val="inner"/>
          <c:xMode val="edge"/>
          <c:yMode val="edge"/>
          <c:x val="0.23274781277340331"/>
          <c:y val="0.19847003499562554"/>
          <c:w val="0.68888626421697297"/>
          <c:h val="0.6945009477981919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Hoja4!$B$3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70C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CE2-4A39-849A-AA063A09407E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1CE2-4A39-849A-AA063A09407E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1CE2-4A39-849A-AA063A09407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Hoja4!$A$4:$A$7</c:f>
              <c:strCache>
                <c:ptCount val="3"/>
                <c:pt idx="0">
                  <c:v>CASA 1</c:v>
                </c:pt>
                <c:pt idx="1">
                  <c:v>CASA 2</c:v>
                </c:pt>
                <c:pt idx="2">
                  <c:v>CASA3</c:v>
                </c:pt>
              </c:strCache>
            </c:strRef>
          </c:cat>
          <c:val>
            <c:numRef>
              <c:f>Hoja4!$B$4:$B$7</c:f>
              <c:numCache>
                <c:formatCode>General</c:formatCode>
                <c:ptCount val="3"/>
                <c:pt idx="0">
                  <c:v>1631.6460566666665</c:v>
                </c:pt>
                <c:pt idx="1">
                  <c:v>1703.078516</c:v>
                </c:pt>
                <c:pt idx="2">
                  <c:v>1462.377244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E2-4A39-849A-AA063A0940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030089664"/>
        <c:axId val="1913407072"/>
      </c:barChart>
      <c:catAx>
        <c:axId val="203008966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13407072"/>
        <c:crosses val="autoZero"/>
        <c:auto val="1"/>
        <c:lblAlgn val="ctr"/>
        <c:lblOffset val="100"/>
        <c:noMultiLvlLbl val="0"/>
      </c:catAx>
      <c:valAx>
        <c:axId val="19134070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300896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[TPR-121_20241_Pr_Dataset_ Zirconio Tipo II.xlsx]Muestra!TablaDinámica9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CASA POOR SAGEMAX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3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4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5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rgbClr val="0070C0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7"/>
        <c:spPr>
          <a:solidFill>
            <a:schemeClr val="accent2">
              <a:lumMod val="60000"/>
              <a:lumOff val="40000"/>
            </a:schemeClr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8"/>
        <c:spPr>
          <a:solidFill>
            <a:srgbClr val="00B050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</c:pivotFmts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Muestra!$B$3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rgbClr val="0070C0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DE96-485A-9A9A-7E84E9FCC1A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DE96-485A-9A9A-7E84E9FCC1AD}"/>
              </c:ext>
            </c:extLst>
          </c:dPt>
          <c:dPt>
            <c:idx val="2"/>
            <c:bubble3D val="0"/>
            <c:spPr>
              <a:solidFill>
                <a:srgbClr val="00B050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DE96-485A-9A9A-7E84E9FCC1A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Muestra!$A$4:$A$7</c:f>
              <c:strCache>
                <c:ptCount val="3"/>
                <c:pt idx="0">
                  <c:v>CASA 1</c:v>
                </c:pt>
                <c:pt idx="1">
                  <c:v>CASA 2</c:v>
                </c:pt>
                <c:pt idx="2">
                  <c:v>CASA3</c:v>
                </c:pt>
              </c:strCache>
            </c:strRef>
          </c:cat>
          <c:val>
            <c:numRef>
              <c:f>Muestra!$B$4:$B$7</c:f>
              <c:numCache>
                <c:formatCode>General</c:formatCode>
                <c:ptCount val="3"/>
                <c:pt idx="0">
                  <c:v>1914.3002716666667</c:v>
                </c:pt>
                <c:pt idx="1">
                  <c:v>1295.7403799999997</c:v>
                </c:pt>
                <c:pt idx="2">
                  <c:v>1923.9888920000001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E96-485A-9A9A-7E84E9FCC1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_xlchart.v1.1</cx:f>
      </cx:numDim>
    </cx:data>
    <cx:data id="1">
      <cx:numDim type="val">
        <cx:f>_xlchart.v1.3</cx:f>
      </cx:numDim>
    </cx:data>
    <cx:data id="2">
      <cx:numDim type="val">
        <cx:f>_xlchart.v1.5</cx:f>
      </cx:numDim>
    </cx:data>
  </cx:chartData>
  <cx:chart>
    <cx:title pos="t" align="ctr" overlay="0">
      <cx:tx>
        <cx:rich>
          <a:bodyPr spcFirstLastPara="1" vertOverflow="ellipsis" horzOverflow="overflow" wrap="square" lIns="0" tIns="0" rIns="0" bIns="0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s-MX" sz="1200" b="1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latin typeface="Aptos Narrow" panose="02110004020202020204"/>
                <a:ea typeface="Calibri" panose="020F0502020204030204" pitchFamily="34" charset="0"/>
                <a:cs typeface="Calibri" panose="020F0502020204030204" pitchFamily="34" charset="0"/>
              </a:rPr>
              <a:t>COMPARACIÓN DE LA RESISTENCIA </a:t>
            </a:r>
            <a:r>
              <a:rPr lang="es-CO" sz="1200" b="1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latin typeface="Aptos Narrow" panose="02110004020202020204"/>
                <a:ea typeface="Calibri" panose="020F0502020204030204" pitchFamily="34" charset="0"/>
                <a:cs typeface="Calibri" panose="020F0502020204030204" pitchFamily="34" charset="0"/>
              </a:rPr>
              <a:t>COMPRESIVA(N) </a:t>
            </a:r>
            <a:r>
              <a:rPr lang="es-MX" sz="1200" b="1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latin typeface="Aptos Narrow" panose="02110004020202020204"/>
                <a:ea typeface="Calibri" panose="020F0502020204030204" pitchFamily="34" charset="0"/>
                <a:cs typeface="Calibri" panose="020F0502020204030204" pitchFamily="34" charset="0"/>
              </a:rPr>
              <a:t> DE </a:t>
            </a:r>
            <a:r>
              <a:rPr lang="es-CO" sz="1200" b="1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latin typeface="Aptos Narrow" panose="02110004020202020204"/>
                <a:ea typeface="Calibri" panose="020F0502020204030204" pitchFamily="34" charset="0"/>
                <a:cs typeface="Calibri" panose="020F0502020204030204" pitchFamily="34" charset="0"/>
              </a:rPr>
              <a:t>CORONAS</a:t>
            </a:r>
            <a:r>
              <a:rPr lang="es-MX" sz="1200" b="1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latin typeface="Aptos Narrow" panose="02110004020202020204"/>
                <a:ea typeface="Calibri" panose="020F0502020204030204" pitchFamily="34" charset="0"/>
                <a:cs typeface="Calibri" panose="020F0502020204030204" pitchFamily="34" charset="0"/>
              </a:rPr>
              <a:t> DE ZIRCONIO TIPO II (3Y-TPZ) ENTRE TRES CASAS COMERCIALES CON UNA MÁQUINA DE ENSAYOS MECÁNICOS UNIVERSALES</a:t>
            </a:r>
            <a:endParaRPr lang="es-CO" sz="12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effectLst/>
              <a:latin typeface="Aptos Narrow" panose="02110004020202020204"/>
              <a:ea typeface="Calibri" panose="020F0502020204030204" pitchFamily="34" charset="0"/>
              <a:cs typeface="Calibri" panose="020F0502020204030204" pitchFamily="34" charset="0"/>
            </a:endParaRPr>
          </a:p>
        </cx:rich>
      </cx:tx>
    </cx:title>
    <cx:plotArea>
      <cx:plotAreaRegion>
        <cx:series layoutId="boxWhisker" uniqueId="{98015636-D091-42AF-B08F-1046E03A0283}">
          <cx:tx>
            <cx:txData>
              <cx:f>_xlchart.v1.0</cx:f>
              <cx:v>AID CARGA(N)</cx:v>
            </cx:txData>
          </cx:tx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CFEA51B7-1AB8-41C7-82A3-20F6F583FF28}">
          <cx:tx>
            <cx:txData>
              <cx:f>_xlchart.v1.2</cx:f>
              <cx:v>UPCERA  CARGA(N)</cx:v>
            </cx:txData>
          </cx:tx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53DA4A98-00E8-4054-B25F-7275A8C2E9D2}">
          <cx:tx>
            <cx:txData>
              <cx:f>_xlchart.v1.4</cx:f>
              <cx:v>SAGEMAX  CARGA(N)</cx:v>
            </cx:txData>
          </cx:tx>
          <cx:dataId val="2"/>
          <cx:layoutPr>
            <cx:visibility meanLine="0" meanMarker="1" nonoutliers="0" outliers="1"/>
            <cx:statistics quartileMethod="exclusive"/>
          </cx:layoutPr>
        </cx:series>
      </cx:plotAreaRegion>
      <cx:axis id="0" hidden="1">
        <cx:catScaling gapWidth="1"/>
        <cx:tickLabels/>
      </cx:axis>
      <cx:axis id="1">
        <cx:valScaling min="700"/>
        <cx:title>
          <cx:tx>
            <cx:txData>
              <cx:v>CARGA N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es-ES" sz="9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Aptos Narrow" panose="02110004020202020204"/>
                </a:rPr>
                <a:t>CARGA N</a:t>
              </a:r>
            </a:p>
          </cx:txPr>
        </cx:title>
        <cx:tickLabels/>
        <cx:txPr>
          <a:bodyPr vertOverflow="overflow" horzOverflow="overflow" wrap="square" lIns="0" tIns="0" rIns="0" bIns="0"/>
          <a:lstStyle/>
          <a:p>
            <a:pPr algn="ctr" rtl="0">
              <a:defRPr sz="1200" b="0" i="0">
                <a:solidFill>
                  <a:srgbClr val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/>
          </a:p>
        </cx:txPr>
      </cx:axis>
    </cx:plotArea>
    <cx:legend pos="t" align="ctr" overlay="0">
      <cx:txPr>
        <a:bodyPr vertOverflow="overflow" horzOverflow="overflow" wrap="square" lIns="0" tIns="0" rIns="0" bIns="0"/>
        <a:lstStyle/>
        <a:p>
          <a:pPr algn="ctr" rtl="0">
            <a:defRPr sz="1200" b="0" i="0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/>
        </a:p>
      </cx:txPr>
    </cx:legend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</xdr:row>
      <xdr:rowOff>0</xdr:rowOff>
    </xdr:from>
    <xdr:to>
      <xdr:col>15</xdr:col>
      <xdr:colOff>390525</xdr:colOff>
      <xdr:row>20</xdr:row>
      <xdr:rowOff>109538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Gráfico 1">
              <a:extLst>
                <a:ext uri="{FF2B5EF4-FFF2-40B4-BE49-F238E27FC236}">
                  <a16:creationId xmlns:a16="http://schemas.microsoft.com/office/drawing/2014/main" id="{DFC9ECBA-A658-42D0-9827-6A116471B88E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0"/>
              <a:ext cx="0" cy="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sz="1100"/>
                <a:t>Este gráfico no está disponible en su versión de Excel.
Si edita esta forma o guarda el libro en un formato de archivo diferente, el gráfico no se podrá usar.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327176</xdr:colOff>
      <xdr:row>2</xdr:row>
      <xdr:rowOff>74538</xdr:rowOff>
    </xdr:from>
    <xdr:to>
      <xdr:col>11</xdr:col>
      <xdr:colOff>381000</xdr:colOff>
      <xdr:row>15</xdr:row>
      <xdr:rowOff>27214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52C2348-40A1-4493-8ACC-EEFC358A52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530678</xdr:colOff>
      <xdr:row>2</xdr:row>
      <xdr:rowOff>54429</xdr:rowOff>
    </xdr:from>
    <xdr:to>
      <xdr:col>17</xdr:col>
      <xdr:colOff>190500</xdr:colOff>
      <xdr:row>14</xdr:row>
      <xdr:rowOff>176892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DFA1CD15-5AA0-4B67-A08B-41F95595B3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367392</xdr:colOff>
      <xdr:row>16</xdr:row>
      <xdr:rowOff>27214</xdr:rowOff>
    </xdr:from>
    <xdr:to>
      <xdr:col>11</xdr:col>
      <xdr:colOff>367392</xdr:colOff>
      <xdr:row>30</xdr:row>
      <xdr:rowOff>103414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14E14C2D-ED61-4888-A1D1-56605329E8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134710</xdr:colOff>
      <xdr:row>1</xdr:row>
      <xdr:rowOff>100692</xdr:rowOff>
    </xdr:from>
    <xdr:to>
      <xdr:col>2</xdr:col>
      <xdr:colOff>299357</xdr:colOff>
      <xdr:row>7</xdr:row>
      <xdr:rowOff>136072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CASA">
              <a:extLst>
                <a:ext uri="{FF2B5EF4-FFF2-40B4-BE49-F238E27FC236}">
                  <a16:creationId xmlns:a16="http://schemas.microsoft.com/office/drawing/2014/main" id="{BAA155A2-488B-0A96-0654-DF71C699BD45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CASA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34710" y="440871"/>
              <a:ext cx="1688647" cy="117838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2</xdr:col>
      <xdr:colOff>434067</xdr:colOff>
      <xdr:row>9</xdr:row>
      <xdr:rowOff>5442</xdr:rowOff>
    </xdr:from>
    <xdr:to>
      <xdr:col>4</xdr:col>
      <xdr:colOff>721179</xdr:colOff>
      <xdr:row>18</xdr:row>
      <xdr:rowOff>27213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6" name="AID CARGA(N)">
              <a:extLst>
                <a:ext uri="{FF2B5EF4-FFF2-40B4-BE49-F238E27FC236}">
                  <a16:creationId xmlns:a16="http://schemas.microsoft.com/office/drawing/2014/main" id="{7FFAD824-E473-083E-0D20-ACEB85A19631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AID CARGA(N)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958067" y="1869621"/>
              <a:ext cx="1811112" cy="1736271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2</xdr:col>
      <xdr:colOff>406853</xdr:colOff>
      <xdr:row>1</xdr:row>
      <xdr:rowOff>87085</xdr:rowOff>
    </xdr:from>
    <xdr:to>
      <xdr:col>4</xdr:col>
      <xdr:colOff>721179</xdr:colOff>
      <xdr:row>8</xdr:row>
      <xdr:rowOff>68035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7" name="UPCERA  CARGA(N)">
              <a:extLst>
                <a:ext uri="{FF2B5EF4-FFF2-40B4-BE49-F238E27FC236}">
                  <a16:creationId xmlns:a16="http://schemas.microsoft.com/office/drawing/2014/main" id="{E38B20C0-FBCD-4D73-13C2-06F1D98355AF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UPCERA  CARGA(N)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930853" y="427264"/>
              <a:ext cx="1838326" cy="13144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0</xdr:col>
      <xdr:colOff>134711</xdr:colOff>
      <xdr:row>8</xdr:row>
      <xdr:rowOff>87085</xdr:rowOff>
    </xdr:from>
    <xdr:to>
      <xdr:col>2</xdr:col>
      <xdr:colOff>299357</xdr:colOff>
      <xdr:row>18</xdr:row>
      <xdr:rowOff>68035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8" name="SAGEMAX  CARGA(N)">
              <a:extLst>
                <a:ext uri="{FF2B5EF4-FFF2-40B4-BE49-F238E27FC236}">
                  <a16:creationId xmlns:a16="http://schemas.microsoft.com/office/drawing/2014/main" id="{C69DF0A2-4E84-218C-241A-FBCDE1333D65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SAGEMAX  CARGA(N)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34711" y="1760764"/>
              <a:ext cx="1688646" cy="18859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0</xdr:rowOff>
    </xdr:from>
    <xdr:to>
      <xdr:col>6</xdr:col>
      <xdr:colOff>629057</xdr:colOff>
      <xdr:row>21</xdr:row>
      <xdr:rowOff>124401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597D59A-21F7-9636-2267-2BD6D1D26C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105275" y="0"/>
          <a:ext cx="2915057" cy="412490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panamericana\AppData\Roaming\Microsoft\Complementos\XRealStats.xlam" TargetMode="External"/><Relationship Id="rId1" Type="http://schemas.openxmlformats.org/officeDocument/2006/relationships/externalLinkPath" Target="/Users/panamericana/AppData/Roaming/Microsoft/Complementos/XRealStats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  <sheetName val="XRealStats"/>
    </sheetNames>
    <definedNames>
      <definedName name="DAGOSTINO"/>
      <definedName name="DPTEST"/>
      <definedName name="IQR"/>
      <definedName name="MAD"/>
      <definedName name="QCRIT"/>
      <definedName name="QDIST"/>
      <definedName name="RANK_SUM"/>
      <definedName name="SHAPIRO"/>
      <definedName name="SWTEST"/>
      <definedName name="TiesCorrection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microsoft.com/office/2006/relationships/xlExternalLinkPath/xlPathMissing" Target="5.%20%20%20%20%20%20%20%20%20%20%20%20%20%20%20%20%20%20%20%20%20%20%20%20%20%20%20%20%20%20%20%20202401_PR_%20Excel_%20Resistencia%20compresiva%20de%20coronas%20de%20zir-conio%20tipo%20II%20(3y-tpz)%20de%20tres%20casas%20comerciales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namericana" refreshedDate="45383.39743449074" createdVersion="8" refreshedVersion="8" minRefreshableVersion="3" recordCount="16" xr:uid="{724E9F68-5BAD-4EB7-A518-91065CBD6E79}">
  <cacheSource type="worksheet">
    <worksheetSource name="Tabla2" r:id="rId2"/>
  </cacheSource>
  <cacheFields count="5">
    <cacheField name="NUMERO MUESTRA" numFmtId="0">
      <sharedItems containsSemiMixedTypes="0" containsString="0" containsNumber="1" containsInteger="1" minValue="1" maxValue="16"/>
    </cacheField>
    <cacheField name="CASA" numFmtId="0">
      <sharedItems count="3">
        <s v="CASA 1"/>
        <s v="CASA 2"/>
        <s v="CASA3"/>
      </sharedItems>
    </cacheField>
    <cacheField name="AID CARGA(N)" numFmtId="0">
      <sharedItems containsSemiMixedTypes="0" containsString="0" containsNumber="1" minValue="1055.3521699999999" maxValue="2854.1635700000002" count="16">
        <n v="1380.63501"/>
        <n v="2127.2739299999998"/>
        <n v="1866.8442399999999"/>
        <n v="1692.4486099999999"/>
        <n v="1631.75171"/>
        <n v="1940.84485"/>
        <n v="1055.3521699999999"/>
        <n v="1252.0658000000001"/>
        <n v="1940.9585"/>
        <n v="2230.43579"/>
        <n v="2854.1635700000002"/>
        <n v="1865.64966"/>
        <n v="1777.1015600000001"/>
        <n v="1935.60718"/>
        <n v="2005.59888"/>
        <n v="1788.4097899999999"/>
      </sharedItems>
    </cacheField>
    <cacheField name="UPCERA  CARGA(N)" numFmtId="0">
      <sharedItems containsSemiMixedTypes="0" containsString="0" containsNumber="1" minValue="813.19421" maxValue="2326.4499500000002" count="16">
        <n v="1085.99719"/>
        <n v="1667.9891399999999"/>
        <n v="2326.4499500000002"/>
        <n v="1710.8425299999999"/>
        <n v="1583.14148"/>
        <n v="1250.91272"/>
        <n v="1670.9938999999999"/>
        <n v="1383.1646699999999"/>
        <n v="813.19421"/>
        <n v="1965.12366"/>
        <n v="1959.84265"/>
        <n v="1786.2017800000001"/>
        <n v="2071.3085900000001"/>
        <n v="1921.2546400000001"/>
        <n v="1135.1275599999999"/>
        <n v="1285.6104700000001"/>
      </sharedItems>
    </cacheField>
    <cacheField name="SAGEMAX  CARGA(N)" numFmtId="0">
      <sharedItems containsSemiMixedTypes="0" containsString="0" containsNumber="1" minValue="726.10204999999996" maxValue="2255.3852499999998" count="16">
        <n v="1432.6103499999999"/>
        <n v="1684.13525"/>
        <n v="2040.4040500000001"/>
        <n v="1963.80188"/>
        <n v="1353.53979"/>
        <n v="2205.1357400000002"/>
        <n v="2255.3852499999998"/>
        <n v="1127.3741500000001"/>
        <n v="1450.7341300000001"/>
        <n v="2079.2006799999999"/>
        <n v="726.10204999999996"/>
        <n v="1848.3429000000001"/>
        <n v="1790.63391"/>
        <n v="1587.5506600000001"/>
        <n v="2075.32764"/>
        <n v="1964.16956"/>
      </sharedItems>
    </cacheField>
  </cacheFields>
  <extLst>
    <ext xmlns:x14="http://schemas.microsoft.com/office/spreadsheetml/2009/9/main" uri="{725AE2AE-9491-48be-B2B4-4EB974FC3084}">
      <x14:pivotCacheDefinition pivotCacheId="697626455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">
  <r>
    <n v="1"/>
    <x v="0"/>
    <x v="0"/>
    <x v="0"/>
    <x v="0"/>
  </r>
  <r>
    <n v="2"/>
    <x v="1"/>
    <x v="1"/>
    <x v="1"/>
    <x v="1"/>
  </r>
  <r>
    <n v="3"/>
    <x v="2"/>
    <x v="2"/>
    <x v="2"/>
    <x v="2"/>
  </r>
  <r>
    <n v="4"/>
    <x v="0"/>
    <x v="3"/>
    <x v="3"/>
    <x v="3"/>
  </r>
  <r>
    <n v="5"/>
    <x v="1"/>
    <x v="4"/>
    <x v="4"/>
    <x v="4"/>
  </r>
  <r>
    <n v="6"/>
    <x v="2"/>
    <x v="5"/>
    <x v="5"/>
    <x v="5"/>
  </r>
  <r>
    <n v="7"/>
    <x v="0"/>
    <x v="6"/>
    <x v="6"/>
    <x v="6"/>
  </r>
  <r>
    <n v="8"/>
    <x v="1"/>
    <x v="7"/>
    <x v="7"/>
    <x v="7"/>
  </r>
  <r>
    <n v="9"/>
    <x v="2"/>
    <x v="8"/>
    <x v="8"/>
    <x v="8"/>
  </r>
  <r>
    <n v="10"/>
    <x v="0"/>
    <x v="9"/>
    <x v="9"/>
    <x v="9"/>
  </r>
  <r>
    <n v="11"/>
    <x v="1"/>
    <x v="10"/>
    <x v="10"/>
    <x v="10"/>
  </r>
  <r>
    <n v="12"/>
    <x v="2"/>
    <x v="11"/>
    <x v="11"/>
    <x v="11"/>
  </r>
  <r>
    <n v="13"/>
    <x v="0"/>
    <x v="12"/>
    <x v="12"/>
    <x v="12"/>
  </r>
  <r>
    <n v="14"/>
    <x v="1"/>
    <x v="13"/>
    <x v="13"/>
    <x v="13"/>
  </r>
  <r>
    <n v="15"/>
    <x v="2"/>
    <x v="14"/>
    <x v="14"/>
    <x v="14"/>
  </r>
  <r>
    <n v="16"/>
    <x v="0"/>
    <x v="15"/>
    <x v="15"/>
    <x v="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E6261BE-F8C0-42C8-80DB-BFB5445C70FB}" name="TablaDinámica6" cacheId="5563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5">
  <location ref="A3:B7" firstHeaderRow="1" firstDataRow="1" firstDataCol="1"/>
  <pivotFields count="5">
    <pivotField showAll="0"/>
    <pivotField axis="axisRow" showAll="0">
      <items count="4">
        <item x="0"/>
        <item x="1"/>
        <item x="2"/>
        <item t="default"/>
      </items>
    </pivotField>
    <pivotField dataField="1" showAll="0"/>
    <pivotField showAll="0"/>
    <pivotField showAll="0"/>
  </pivotFields>
  <rowFields count="1">
    <field x="1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Promedio de AID CARGA(N)" fld="2" subtotal="average" baseField="1" baseItem="0"/>
  </dataFields>
  <chartFormats count="4">
    <chartFormat chart="2" format="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9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2" format="10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2" format="1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E4CDCEB-B0B8-4846-B669-B9ED467AA942}" name="TablaDinámica7" cacheId="5563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4">
  <location ref="A3:B7" firstHeaderRow="1" firstDataRow="1" firstDataCol="1"/>
  <pivotFields count="5">
    <pivotField showAll="0"/>
    <pivotField axis="axisRow" showAll="0">
      <items count="4">
        <item x="0"/>
        <item x="1"/>
        <item x="2"/>
        <item t="default"/>
      </items>
    </pivotField>
    <pivotField showAll="0">
      <items count="17">
        <item x="6"/>
        <item x="7"/>
        <item x="0"/>
        <item x="4"/>
        <item x="3"/>
        <item x="12"/>
        <item x="15"/>
        <item x="11"/>
        <item x="2"/>
        <item x="13"/>
        <item x="5"/>
        <item x="8"/>
        <item x="14"/>
        <item x="1"/>
        <item x="9"/>
        <item x="10"/>
        <item t="default"/>
      </items>
    </pivotField>
    <pivotField dataField="1" showAll="0">
      <items count="17">
        <item x="8"/>
        <item x="0"/>
        <item x="14"/>
        <item x="5"/>
        <item x="15"/>
        <item x="7"/>
        <item x="4"/>
        <item x="1"/>
        <item x="6"/>
        <item x="3"/>
        <item x="11"/>
        <item x="13"/>
        <item x="10"/>
        <item x="9"/>
        <item x="12"/>
        <item x="2"/>
        <item t="default"/>
      </items>
    </pivotField>
    <pivotField showAll="0">
      <items count="17">
        <item x="10"/>
        <item x="7"/>
        <item x="4"/>
        <item x="0"/>
        <item x="8"/>
        <item x="13"/>
        <item x="1"/>
        <item x="12"/>
        <item x="11"/>
        <item x="3"/>
        <item x="15"/>
        <item x="2"/>
        <item x="14"/>
        <item x="9"/>
        <item x="5"/>
        <item x="6"/>
        <item t="default"/>
      </items>
    </pivotField>
  </pivotFields>
  <rowFields count="1">
    <field x="1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Promedio de UPCERA  CARGA(N)" fld="3" subtotal="average" baseField="1" baseItem="0"/>
  </dataFields>
  <chartFormats count="4">
    <chartFormat chart="3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3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3" format="4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3" format="5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39A8F43-65BA-4818-9DC5-9FEA2CFD631A}" name="TablaDinámica8" cacheId="5563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A7" firstHeaderRow="1" firstDataRow="1" firstDataCol="1"/>
  <pivotFields count="5">
    <pivotField showAll="0"/>
    <pivotField axis="axisRow" showAll="0">
      <items count="4">
        <item x="0"/>
        <item x="1"/>
        <item x="2"/>
        <item t="default"/>
      </items>
    </pivotField>
    <pivotField showAll="0">
      <items count="17">
        <item x="6"/>
        <item x="7"/>
        <item x="0"/>
        <item x="4"/>
        <item x="3"/>
        <item x="12"/>
        <item x="15"/>
        <item x="11"/>
        <item x="2"/>
        <item x="13"/>
        <item x="5"/>
        <item x="8"/>
        <item x="14"/>
        <item x="1"/>
        <item x="9"/>
        <item x="10"/>
        <item t="default"/>
      </items>
    </pivotField>
    <pivotField showAll="0">
      <items count="17">
        <item x="8"/>
        <item x="0"/>
        <item x="14"/>
        <item x="5"/>
        <item x="15"/>
        <item x="7"/>
        <item x="4"/>
        <item x="1"/>
        <item x="6"/>
        <item x="3"/>
        <item x="11"/>
        <item x="13"/>
        <item x="10"/>
        <item x="9"/>
        <item x="12"/>
        <item x="2"/>
        <item t="default"/>
      </items>
    </pivotField>
    <pivotField showAll="0">
      <items count="17">
        <item x="10"/>
        <item x="7"/>
        <item x="4"/>
        <item x="0"/>
        <item x="8"/>
        <item x="13"/>
        <item x="1"/>
        <item x="12"/>
        <item x="11"/>
        <item x="3"/>
        <item x="15"/>
        <item x="2"/>
        <item x="14"/>
        <item x="9"/>
        <item x="5"/>
        <item x="6"/>
        <item t="default"/>
      </items>
    </pivotField>
  </pivotFields>
  <rowFields count="1">
    <field x="1"/>
  </rowFields>
  <rowItems count="4">
    <i>
      <x/>
    </i>
    <i>
      <x v="1"/>
    </i>
    <i>
      <x v="2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F26EC5E-C4AA-4F72-BFE5-C3CB36ED02A8}" name="TablaDinámica9" cacheId="5563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3">
  <location ref="A3:B7" firstHeaderRow="1" firstDataRow="1" firstDataCol="1"/>
  <pivotFields count="5">
    <pivotField showAll="0"/>
    <pivotField axis="axisRow" showAll="0">
      <items count="4">
        <item x="0"/>
        <item x="1"/>
        <item x="2"/>
        <item t="default"/>
      </items>
    </pivotField>
    <pivotField showAll="0">
      <items count="17">
        <item x="6"/>
        <item x="7"/>
        <item x="0"/>
        <item x="4"/>
        <item x="3"/>
        <item x="12"/>
        <item x="15"/>
        <item x="11"/>
        <item x="2"/>
        <item x="13"/>
        <item x="5"/>
        <item x="8"/>
        <item x="14"/>
        <item x="1"/>
        <item x="9"/>
        <item x="10"/>
        <item t="default"/>
      </items>
    </pivotField>
    <pivotField showAll="0">
      <items count="17">
        <item x="8"/>
        <item x="0"/>
        <item x="14"/>
        <item x="5"/>
        <item x="15"/>
        <item x="7"/>
        <item x="4"/>
        <item x="1"/>
        <item x="6"/>
        <item x="3"/>
        <item x="11"/>
        <item x="13"/>
        <item x="10"/>
        <item x="9"/>
        <item x="12"/>
        <item x="2"/>
        <item t="default"/>
      </items>
    </pivotField>
    <pivotField dataField="1" showAll="0">
      <items count="17">
        <item x="10"/>
        <item x="7"/>
        <item x="4"/>
        <item x="0"/>
        <item x="8"/>
        <item x="13"/>
        <item x="1"/>
        <item x="12"/>
        <item x="11"/>
        <item x="3"/>
        <item x="15"/>
        <item x="2"/>
        <item x="14"/>
        <item x="9"/>
        <item x="5"/>
        <item x="6"/>
        <item t="default"/>
      </items>
    </pivotField>
  </pivotFields>
  <rowFields count="1">
    <field x="1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Promedio de SAGEMAX  CARGA(N)" fld="4" subtotal="average" baseField="1" baseItem="0"/>
  </dataFields>
  <chartFormats count="9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1" format="3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1" format="4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2" format="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6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2" format="7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2" format="8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CASA" xr10:uid="{18768FA0-9C7E-43CB-8AE4-CDB573B4C928}" sourceName="CASA">
  <pivotTables>
    <pivotTable tabId="12" name="TablaDinámica9"/>
    <pivotTable tabId="10" name="TablaDinámica7"/>
    <pivotTable tabId="11" name="TablaDinámica8"/>
  </pivotTables>
  <data>
    <tabular pivotCacheId="697626455">
      <items count="3">
        <i x="0" s="1"/>
        <i x="1" s="1"/>
        <i x="2" s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AID_CARGA_N" xr10:uid="{B13903EE-58E6-4955-881D-2197E8C622FF}" sourceName="AID CARGA(N)">
  <pivotTables>
    <pivotTable tabId="12" name="TablaDinámica9"/>
    <pivotTable tabId="10" name="TablaDinámica7"/>
    <pivotTable tabId="11" name="TablaDinámica8"/>
  </pivotTables>
  <data>
    <tabular pivotCacheId="697626455">
      <items count="16">
        <i x="6" s="1"/>
        <i x="7" s="1"/>
        <i x="0" s="1"/>
        <i x="4" s="1"/>
        <i x="3" s="1"/>
        <i x="12" s="1"/>
        <i x="15" s="1"/>
        <i x="11" s="1"/>
        <i x="2" s="1"/>
        <i x="13" s="1"/>
        <i x="5" s="1"/>
        <i x="8" s="1"/>
        <i x="14" s="1"/>
        <i x="1" s="1"/>
        <i x="9" s="1"/>
        <i x="10" s="1"/>
      </items>
    </tabular>
  </data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UPCERA__CARGA_N" xr10:uid="{7F5A6ACE-B873-463D-97E1-762AE3CFAFE2}" sourceName="UPCERA  CARGA(N)">
  <pivotTables>
    <pivotTable tabId="12" name="TablaDinámica9"/>
    <pivotTable tabId="10" name="TablaDinámica7"/>
    <pivotTable tabId="11" name="TablaDinámica8"/>
  </pivotTables>
  <data>
    <tabular pivotCacheId="697626455">
      <items count="16">
        <i x="8" s="1"/>
        <i x="0" s="1"/>
        <i x="14" s="1"/>
        <i x="5" s="1"/>
        <i x="15" s="1"/>
        <i x="7" s="1"/>
        <i x="4" s="1"/>
        <i x="1" s="1"/>
        <i x="6" s="1"/>
        <i x="3" s="1"/>
        <i x="11" s="1"/>
        <i x="13" s="1"/>
        <i x="10" s="1"/>
        <i x="9" s="1"/>
        <i x="12" s="1"/>
        <i x="2" s="1"/>
      </items>
    </tabular>
  </data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SAGEMAX__CARGA_N" xr10:uid="{F9D20FED-EB61-4442-B36B-AB5215AD1B33}" sourceName="SAGEMAX  CARGA(N)">
  <pivotTables>
    <pivotTable tabId="12" name="TablaDinámica9"/>
    <pivotTable tabId="10" name="TablaDinámica7"/>
    <pivotTable tabId="11" name="TablaDinámica8"/>
  </pivotTables>
  <data>
    <tabular pivotCacheId="697626455">
      <items count="16">
        <i x="10" s="1"/>
        <i x="7" s="1"/>
        <i x="4" s="1"/>
        <i x="0" s="1"/>
        <i x="8" s="1"/>
        <i x="13" s="1"/>
        <i x="1" s="1"/>
        <i x="12" s="1"/>
        <i x="11" s="1"/>
        <i x="3" s="1"/>
        <i x="15" s="1"/>
        <i x="2" s="1"/>
        <i x="14" s="1"/>
        <i x="9" s="1"/>
        <i x="5" s="1"/>
        <i x="6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CASA" xr10:uid="{95D77C96-9FC0-42D4-B07D-D488DE13943F}" cache="SegmentaciónDeDatos_CASA" caption="CASA" rowHeight="257175"/>
  <slicer name="AID CARGA(N)" xr10:uid="{5E9E8D45-DE1F-4889-91CE-62BDB3395AB2}" cache="SegmentaciónDeDatos_AID_CARGA_N" caption="AID CARGA(N)" rowHeight="257175"/>
  <slicer name="UPCERA  CARGA(N)" xr10:uid="{0A47D27C-C56D-4F3E-BE9F-1502846D462D}" cache="SegmentaciónDeDatos_UPCERA__CARGA_N" caption="UPCERA  CARGA(N)" rowHeight="257175"/>
  <slicer name="SAGEMAX  CARGA(N)" xr10:uid="{15F6F8C1-5B66-4A94-A08E-3DF8A6F51709}" cache="SegmentaciónDeDatos_SAGEMAX__CARGA_N" caption="SAGEMAX  CARGA(N)" startItem="1" rowHeight="257175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F19D549-6E67-47A8-95E1-2756F434F561}" name="Tabla2" displayName="Tabla2" ref="A1:E17" totalsRowShown="0">
  <autoFilter ref="A1:E17" xr:uid="{DF19D549-6E67-47A8-95E1-2756F434F561}"/>
  <tableColumns count="5">
    <tableColumn id="1" xr3:uid="{909125BD-4C50-438E-916B-E56CF61C9FA1}" name="NUMERO MUESTRA"/>
    <tableColumn id="2" xr3:uid="{4A9F2236-2BD7-48AB-BF5C-544A85BF5EA9}" name="CASA"/>
    <tableColumn id="3" xr3:uid="{EA3B8881-F339-403C-98D9-891A20DD110C}" name="AID CARGA(N)"/>
    <tableColumn id="4" xr3:uid="{B0A49AE8-F65B-4CAA-B39D-43CF50549592}" name="UPCERA  CARGA(N)"/>
    <tableColumn id="5" xr3:uid="{6360CAD3-6DDE-4E90-9017-3F27DB9834CC}" name="SAGEMAX  CARGA(N)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EE3FC81-ADD1-4DEF-B5AB-6C6DCA930AE3}" name="Tabla32" displayName="Tabla32" ref="A1:D17" totalsRowShown="0">
  <autoFilter ref="A1:D17" xr:uid="{508178E6-BA6A-4491-A7AC-008E36F516C0}"/>
  <tableColumns count="4">
    <tableColumn id="1" xr3:uid="{EA627A75-BEE6-4D91-A3E7-9201BCA0DFC0}" name="NUMERO MUESTRA" dataDxfId="9"/>
    <tableColumn id="2" xr3:uid="{05FC80CA-A2AB-4470-9BEA-E9C5DA93A858}" name="AID CARGA(N)" dataDxfId="8"/>
    <tableColumn id="3" xr3:uid="{07DC9AFE-F37B-4BC9-9FCF-54244054B0A9}" name="UPCERA  CARGA(N)" dataDxfId="7"/>
    <tableColumn id="4" xr3:uid="{D884A56D-558B-41E7-B76A-25C82E8B8F7B}" name="SAGEMAX  CARGA(N)" dataDxfId="6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08178E6-BA6A-4491-A7AC-008E36F516C0}" name="Tabla3" displayName="Tabla3" ref="A1:B17" totalsRowShown="0">
  <autoFilter ref="A1:B17" xr:uid="{508178E6-BA6A-4491-A7AC-008E36F516C0}"/>
  <tableColumns count="2">
    <tableColumn id="1" xr3:uid="{0A7562EC-F123-4C54-B388-4EEABBEDE3FF}" name="NUMERO MUESTRA" dataDxfId="5"/>
    <tableColumn id="2" xr3:uid="{2192B15B-2A2F-44C8-846F-5801DEBC76C7}" name="MAXIMO CARGA(N)" dataDxfId="4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F90CCF55-971C-4060-B446-6D494C193492}" name="Tabla37" displayName="Tabla37" ref="A2:B18" totalsRowShown="0">
  <autoFilter ref="A2:B18" xr:uid="{F90CCF55-971C-4060-B446-6D494C193492}"/>
  <tableColumns count="2">
    <tableColumn id="1" xr3:uid="{4A8AF532-51DE-42C3-9ACC-AEC3EBFD9540}" name="NUMERO MUESTRA" dataDxfId="3"/>
    <tableColumn id="2" xr3:uid="{F63C362A-4797-49C9-8986-0241236DEAB2}" name="UPCERA  CARGA(N)" dataDxf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BFD9991-EC8B-4BFA-93B1-80B3CF7E7FDB}" name="Tabla378" displayName="Tabla378" ref="A3:B19" totalsRowShown="0">
  <autoFilter ref="A3:B19" xr:uid="{0BFD9991-EC8B-4BFA-93B1-80B3CF7E7FDB}"/>
  <tableColumns count="2">
    <tableColumn id="1" xr3:uid="{E8106DA7-9AF7-4490-8943-E4C5CC5044A8}" name="NUMERO MUESTRA" dataDxfId="1"/>
    <tableColumn id="2" xr3:uid="{956DD238-572D-4460-BA94-35B3E7BF8012}" name="MAXIMO CARGA(N)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4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211924-EF16-4F51-A4D5-01910CC666DD}">
  <dimension ref="A1:H12"/>
  <sheetViews>
    <sheetView topLeftCell="P1" workbookViewId="0">
      <selection activeCell="U19" sqref="U19"/>
    </sheetView>
  </sheetViews>
  <sheetFormatPr defaultColWidth="11.42578125" defaultRowHeight="15"/>
  <cols>
    <col min="1" max="1" width="39.28515625" bestFit="1" customWidth="1"/>
    <col min="2" max="2" width="1.28515625" customWidth="1"/>
    <col min="3" max="3" width="50.7109375" bestFit="1" customWidth="1"/>
    <col min="4" max="4" width="6.5703125" customWidth="1"/>
    <col min="5" max="5" width="19.85546875" bestFit="1" customWidth="1"/>
  </cols>
  <sheetData>
    <row r="1" spans="1:8" ht="30">
      <c r="A1" t="s">
        <v>0</v>
      </c>
      <c r="C1" t="s">
        <v>1</v>
      </c>
      <c r="E1" s="13"/>
      <c r="F1" s="14" t="s">
        <v>2</v>
      </c>
      <c r="G1" s="14" t="s">
        <v>3</v>
      </c>
      <c r="H1" s="14" t="s">
        <v>4</v>
      </c>
    </row>
    <row r="2" spans="1:8">
      <c r="A2" t="s">
        <v>5</v>
      </c>
      <c r="C2" t="s">
        <v>6</v>
      </c>
      <c r="E2" s="12" t="s">
        <v>7</v>
      </c>
      <c r="F2" s="12">
        <v>16</v>
      </c>
      <c r="G2" s="12">
        <v>16</v>
      </c>
      <c r="H2" s="12">
        <v>16</v>
      </c>
    </row>
    <row r="3" spans="1:8">
      <c r="A3" t="s">
        <v>8</v>
      </c>
      <c r="C3" t="s">
        <v>9</v>
      </c>
      <c r="E3" s="12" t="s">
        <v>10</v>
      </c>
      <c r="F3" s="15">
        <v>1834.071328125</v>
      </c>
      <c r="G3" s="15">
        <v>1601.0721962499999</v>
      </c>
      <c r="H3" s="15">
        <v>1724.027999375</v>
      </c>
    </row>
    <row r="4" spans="1:8">
      <c r="A4" t="s">
        <v>11</v>
      </c>
      <c r="C4" t="s">
        <v>12</v>
      </c>
      <c r="E4" s="12" t="s">
        <v>13</v>
      </c>
      <c r="F4" s="15">
        <v>103.38737594544899</v>
      </c>
      <c r="G4" s="15">
        <v>102.87213775051623</v>
      </c>
      <c r="H4" s="15">
        <v>105.42479344279374</v>
      </c>
    </row>
    <row r="5" spans="1:8">
      <c r="A5" t="s">
        <v>14</v>
      </c>
      <c r="E5" s="12" t="s">
        <v>15</v>
      </c>
      <c r="F5" s="15">
        <v>1866.24695</v>
      </c>
      <c r="G5" s="15">
        <v>1669.49152</v>
      </c>
      <c r="H5" s="15">
        <v>1819.4884050000001</v>
      </c>
    </row>
    <row r="6" spans="1:8">
      <c r="E6" s="12" t="s">
        <v>16</v>
      </c>
      <c r="F6" s="15">
        <v>2854.1635700000002</v>
      </c>
      <c r="G6" s="15">
        <v>2326.4499500000002</v>
      </c>
      <c r="H6" s="15">
        <v>2255.3852499999998</v>
      </c>
    </row>
    <row r="7" spans="1:8">
      <c r="E7" s="12" t="s">
        <v>17</v>
      </c>
      <c r="F7" s="15">
        <v>1055.3521699999999</v>
      </c>
      <c r="G7" s="15">
        <v>813.19421</v>
      </c>
      <c r="H7" s="15">
        <v>726.10204999999996</v>
      </c>
    </row>
    <row r="8" spans="1:8">
      <c r="E8" s="12" t="s">
        <v>18</v>
      </c>
      <c r="F8" s="15">
        <v>279.84420999999998</v>
      </c>
      <c r="G8" s="15">
        <v>653.96560999999997</v>
      </c>
      <c r="H8" s="15">
        <v>602.9317625000001</v>
      </c>
    </row>
    <row r="9" spans="1:8">
      <c r="E9" s="12" t="s">
        <v>19</v>
      </c>
      <c r="F9" s="15">
        <v>0.21705637777989006</v>
      </c>
      <c r="G9" s="15">
        <v>0.84517380015172794</v>
      </c>
      <c r="H9" s="15">
        <v>0.21469411457830112</v>
      </c>
    </row>
    <row r="10" spans="1:8">
      <c r="E10" s="12" t="s">
        <v>20</v>
      </c>
      <c r="F10" s="16">
        <v>0.29388305191516251</v>
      </c>
      <c r="G10" s="12"/>
      <c r="H10" s="12"/>
    </row>
    <row r="12" spans="1:8">
      <c r="E12" s="17" t="s">
        <v>21</v>
      </c>
      <c r="F12" s="17"/>
      <c r="G12" s="17"/>
      <c r="H12" s="17"/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72EBF-CB49-4C51-A6FB-7CA4BF6EE28E}">
  <dimension ref="A1:G17"/>
  <sheetViews>
    <sheetView workbookViewId="0">
      <selection activeCell="I21" sqref="A1:I21"/>
    </sheetView>
  </sheetViews>
  <sheetFormatPr defaultColWidth="11.42578125" defaultRowHeight="15"/>
  <cols>
    <col min="2" max="2" width="18.7109375" customWidth="1"/>
  </cols>
  <sheetData>
    <row r="1" spans="1:7">
      <c r="A1" t="s">
        <v>43</v>
      </c>
      <c r="B1" t="s">
        <v>110</v>
      </c>
    </row>
    <row r="2" spans="1:7">
      <c r="A2" s="1">
        <v>1</v>
      </c>
      <c r="B2" s="1">
        <v>1380.63501</v>
      </c>
    </row>
    <row r="3" spans="1:7">
      <c r="A3" s="1">
        <v>2</v>
      </c>
      <c r="B3" s="1">
        <v>2127.2739299999998</v>
      </c>
    </row>
    <row r="4" spans="1:7">
      <c r="A4" s="1">
        <v>3</v>
      </c>
      <c r="B4" s="1">
        <v>1866.8442399999999</v>
      </c>
    </row>
    <row r="5" spans="1:7">
      <c r="A5" s="1">
        <v>4</v>
      </c>
      <c r="B5" s="1">
        <v>1692.4486099999999</v>
      </c>
      <c r="D5" s="2" t="s">
        <v>111</v>
      </c>
      <c r="E5" s="2"/>
      <c r="F5" s="2"/>
      <c r="G5">
        <v>1834.07133</v>
      </c>
    </row>
    <row r="6" spans="1:7">
      <c r="A6" s="1">
        <v>5</v>
      </c>
      <c r="B6" s="1">
        <v>1631.75171</v>
      </c>
      <c r="D6" s="2" t="s">
        <v>112</v>
      </c>
      <c r="E6" s="2"/>
      <c r="F6" s="2"/>
      <c r="G6">
        <v>1866.24695</v>
      </c>
    </row>
    <row r="7" spans="1:7">
      <c r="A7" s="1">
        <v>6</v>
      </c>
      <c r="B7" s="1">
        <v>1940.84485</v>
      </c>
      <c r="D7" s="2" t="s">
        <v>113</v>
      </c>
      <c r="E7" s="2"/>
      <c r="F7" s="2"/>
      <c r="G7">
        <v>2854.1635700000002</v>
      </c>
    </row>
    <row r="8" spans="1:7">
      <c r="A8" s="1">
        <v>7</v>
      </c>
      <c r="B8" s="1">
        <v>1055.3521699999999</v>
      </c>
      <c r="D8" s="2" t="s">
        <v>114</v>
      </c>
      <c r="E8" s="2"/>
      <c r="F8" s="2"/>
      <c r="G8">
        <v>1055.3521699999999</v>
      </c>
    </row>
    <row r="9" spans="1:7">
      <c r="A9" s="1">
        <v>8</v>
      </c>
      <c r="B9" s="1">
        <v>1252.0658000000001</v>
      </c>
      <c r="D9" s="2" t="s">
        <v>115</v>
      </c>
      <c r="E9" s="2"/>
      <c r="F9" s="2"/>
      <c r="G9">
        <v>413.54950000000002</v>
      </c>
    </row>
    <row r="10" spans="1:7">
      <c r="A10" s="1">
        <v>9</v>
      </c>
      <c r="B10" s="1">
        <v>1940.9585</v>
      </c>
      <c r="D10" s="2" t="s">
        <v>116</v>
      </c>
      <c r="E10" s="2"/>
      <c r="F10" s="2"/>
      <c r="G10">
        <v>22.548169999999999</v>
      </c>
    </row>
    <row r="11" spans="1:7">
      <c r="A11" s="1">
        <v>10</v>
      </c>
      <c r="B11" s="1">
        <v>2230.43579</v>
      </c>
    </row>
    <row r="12" spans="1:7">
      <c r="A12" s="1">
        <v>11</v>
      </c>
      <c r="B12" s="1">
        <v>2854.1635700000002</v>
      </c>
    </row>
    <row r="13" spans="1:7">
      <c r="A13" s="1">
        <v>12</v>
      </c>
      <c r="B13" s="1">
        <v>1865.64966</v>
      </c>
    </row>
    <row r="14" spans="1:7">
      <c r="A14" s="1">
        <v>13</v>
      </c>
      <c r="B14" s="1">
        <v>1777.1015600000001</v>
      </c>
    </row>
    <row r="15" spans="1:7">
      <c r="A15" s="1">
        <v>14</v>
      </c>
      <c r="B15" s="1">
        <v>1935.60718</v>
      </c>
    </row>
    <row r="16" spans="1:7">
      <c r="A16" s="1">
        <v>15</v>
      </c>
      <c r="B16" s="1">
        <v>2005.59888</v>
      </c>
    </row>
    <row r="17" spans="1:2">
      <c r="A17" s="1">
        <v>16</v>
      </c>
      <c r="B17" s="1">
        <v>1788.4097899999999</v>
      </c>
    </row>
  </sheetData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1C0B8-8A9F-442C-A08F-09BA0C31E2D8}">
  <dimension ref="A2:G18"/>
  <sheetViews>
    <sheetView workbookViewId="0">
      <selection activeCell="B2" sqref="B2:B18"/>
    </sheetView>
  </sheetViews>
  <sheetFormatPr defaultColWidth="11.42578125" defaultRowHeight="15"/>
  <sheetData>
    <row r="2" spans="1:7">
      <c r="A2" t="s">
        <v>43</v>
      </c>
      <c r="B2" t="s">
        <v>3</v>
      </c>
    </row>
    <row r="3" spans="1:7">
      <c r="A3" s="1">
        <v>1</v>
      </c>
      <c r="B3">
        <v>1085.99719</v>
      </c>
    </row>
    <row r="4" spans="1:7">
      <c r="A4" s="1">
        <v>2</v>
      </c>
      <c r="B4">
        <v>1667.9891399999999</v>
      </c>
    </row>
    <row r="5" spans="1:7">
      <c r="A5" s="1">
        <v>3</v>
      </c>
      <c r="B5">
        <v>2326.4499500000002</v>
      </c>
    </row>
    <row r="6" spans="1:7">
      <c r="A6" s="1">
        <v>4</v>
      </c>
      <c r="B6">
        <v>1710.8425299999999</v>
      </c>
      <c r="D6" s="2" t="s">
        <v>111</v>
      </c>
      <c r="E6" s="2"/>
      <c r="F6" s="2"/>
      <c r="G6">
        <v>1601.0722000000001</v>
      </c>
    </row>
    <row r="7" spans="1:7">
      <c r="A7" s="1">
        <v>5</v>
      </c>
      <c r="B7">
        <v>1583.14148</v>
      </c>
      <c r="D7" s="2" t="s">
        <v>112</v>
      </c>
      <c r="E7" s="2"/>
      <c r="F7" s="2"/>
      <c r="G7">
        <v>1669.49152</v>
      </c>
    </row>
    <row r="8" spans="1:7">
      <c r="A8" s="1">
        <v>6</v>
      </c>
      <c r="B8">
        <v>1250.91272</v>
      </c>
      <c r="D8" s="2" t="s">
        <v>113</v>
      </c>
      <c r="E8" s="2"/>
      <c r="F8" s="2"/>
      <c r="G8">
        <v>2326.4499500000002</v>
      </c>
    </row>
    <row r="9" spans="1:7">
      <c r="A9" s="1">
        <v>7</v>
      </c>
      <c r="B9">
        <v>1670.9938999999999</v>
      </c>
      <c r="D9" s="2" t="s">
        <v>114</v>
      </c>
      <c r="E9" s="2"/>
      <c r="F9" s="2"/>
      <c r="G9">
        <v>813.19421</v>
      </c>
    </row>
    <row r="10" spans="1:7">
      <c r="A10" s="1">
        <v>8</v>
      </c>
      <c r="B10">
        <v>1383.1646699999999</v>
      </c>
      <c r="D10" s="2" t="s">
        <v>115</v>
      </c>
      <c r="E10" s="2"/>
      <c r="F10" s="2"/>
      <c r="G10">
        <v>411.48854999999998</v>
      </c>
    </row>
    <row r="11" spans="1:7">
      <c r="A11" s="1">
        <v>9</v>
      </c>
      <c r="B11">
        <v>813.19421</v>
      </c>
      <c r="D11" s="2" t="s">
        <v>116</v>
      </c>
      <c r="E11" s="2"/>
      <c r="F11" s="2"/>
      <c r="G11">
        <v>25.700810000000001</v>
      </c>
    </row>
    <row r="12" spans="1:7">
      <c r="A12" s="1">
        <v>10</v>
      </c>
      <c r="B12">
        <v>1965.12366</v>
      </c>
    </row>
    <row r="13" spans="1:7">
      <c r="A13" s="1">
        <v>11</v>
      </c>
      <c r="B13">
        <v>1959.84265</v>
      </c>
    </row>
    <row r="14" spans="1:7">
      <c r="A14" s="1">
        <v>12</v>
      </c>
      <c r="B14">
        <v>1786.2017800000001</v>
      </c>
    </row>
    <row r="15" spans="1:7">
      <c r="A15" s="1">
        <v>13</v>
      </c>
      <c r="B15">
        <v>2071.3085900000001</v>
      </c>
    </row>
    <row r="16" spans="1:7">
      <c r="A16" s="1">
        <v>14</v>
      </c>
      <c r="B16">
        <v>1921.2546400000001</v>
      </c>
    </row>
    <row r="17" spans="1:2">
      <c r="A17" s="1">
        <v>15</v>
      </c>
      <c r="B17">
        <v>1135.1275599999999</v>
      </c>
    </row>
    <row r="18" spans="1:2">
      <c r="A18" s="1">
        <v>16</v>
      </c>
      <c r="B18">
        <v>1285.6104700000001</v>
      </c>
    </row>
  </sheetData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60492D-925E-452E-AA16-654A2838A0D6}">
  <dimension ref="A3:G19"/>
  <sheetViews>
    <sheetView workbookViewId="0">
      <selection activeCell="B3" sqref="B3:B19"/>
    </sheetView>
  </sheetViews>
  <sheetFormatPr defaultColWidth="11.42578125" defaultRowHeight="15"/>
  <sheetData>
    <row r="3" spans="1:7">
      <c r="A3" t="s">
        <v>43</v>
      </c>
      <c r="B3" t="s">
        <v>110</v>
      </c>
    </row>
    <row r="4" spans="1:7">
      <c r="A4" s="1">
        <v>1</v>
      </c>
      <c r="B4">
        <v>1432.6103499999999</v>
      </c>
    </row>
    <row r="5" spans="1:7">
      <c r="A5" s="1">
        <v>2</v>
      </c>
      <c r="B5">
        <v>1684.13525</v>
      </c>
    </row>
    <row r="6" spans="1:7">
      <c r="A6" s="1">
        <v>3</v>
      </c>
      <c r="B6">
        <v>2040.4040500000001</v>
      </c>
    </row>
    <row r="7" spans="1:7">
      <c r="A7" s="1">
        <v>4</v>
      </c>
      <c r="B7">
        <v>1963.80188</v>
      </c>
      <c r="D7" s="2" t="s">
        <v>111</v>
      </c>
      <c r="E7" s="2"/>
      <c r="F7" s="2"/>
      <c r="G7">
        <v>1724.028</v>
      </c>
    </row>
    <row r="8" spans="1:7">
      <c r="A8" s="1">
        <v>5</v>
      </c>
      <c r="B8">
        <v>1353.53979</v>
      </c>
      <c r="D8" s="2" t="s">
        <v>112</v>
      </c>
      <c r="E8" s="2"/>
      <c r="F8" s="2"/>
      <c r="G8">
        <v>1819.4884</v>
      </c>
    </row>
    <row r="9" spans="1:7">
      <c r="A9" s="1">
        <v>6</v>
      </c>
      <c r="B9">
        <v>2205.1357400000002</v>
      </c>
      <c r="D9" s="2" t="s">
        <v>113</v>
      </c>
      <c r="E9" s="2"/>
      <c r="F9" s="2"/>
      <c r="G9">
        <v>2255.3852499999998</v>
      </c>
    </row>
    <row r="10" spans="1:7">
      <c r="A10" s="1">
        <v>7</v>
      </c>
      <c r="B10">
        <v>2255.3852499999998</v>
      </c>
      <c r="D10" s="2" t="s">
        <v>114</v>
      </c>
      <c r="E10" s="2"/>
      <c r="F10" s="2"/>
      <c r="G10">
        <v>726.10204999999996</v>
      </c>
    </row>
    <row r="11" spans="1:7">
      <c r="A11" s="1">
        <v>8</v>
      </c>
      <c r="B11">
        <v>1127.3741500000001</v>
      </c>
      <c r="D11" s="2" t="s">
        <v>115</v>
      </c>
      <c r="E11" s="2"/>
      <c r="F11" s="2"/>
      <c r="G11">
        <v>421.69916999999998</v>
      </c>
    </row>
    <row r="12" spans="1:7">
      <c r="A12" s="1">
        <v>9</v>
      </c>
      <c r="B12">
        <v>1450.7341300000001</v>
      </c>
      <c r="D12" s="2" t="s">
        <v>116</v>
      </c>
      <c r="E12" s="2"/>
      <c r="F12" s="2"/>
      <c r="G12">
        <v>24.46011</v>
      </c>
    </row>
    <row r="13" spans="1:7">
      <c r="A13" s="1">
        <v>10</v>
      </c>
      <c r="B13">
        <v>2079.2006799999999</v>
      </c>
    </row>
    <row r="14" spans="1:7">
      <c r="A14" s="1">
        <v>11</v>
      </c>
      <c r="B14">
        <v>726.10204999999996</v>
      </c>
    </row>
    <row r="15" spans="1:7">
      <c r="A15" s="1">
        <v>12</v>
      </c>
      <c r="B15">
        <v>1848.3429000000001</v>
      </c>
    </row>
    <row r="16" spans="1:7">
      <c r="A16" s="1">
        <v>13</v>
      </c>
      <c r="B16">
        <v>1790.63391</v>
      </c>
    </row>
    <row r="17" spans="1:2">
      <c r="A17" s="1">
        <v>14</v>
      </c>
      <c r="B17">
        <v>1587.5506600000001</v>
      </c>
    </row>
    <row r="18" spans="1:2">
      <c r="A18" s="1">
        <v>15</v>
      </c>
      <c r="B18">
        <v>2075.32764</v>
      </c>
    </row>
    <row r="19" spans="1:2">
      <c r="A19" s="1">
        <v>16</v>
      </c>
      <c r="B19">
        <v>1964.16956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02C760-3F54-448A-BFD7-E7D5C2304505}">
  <dimension ref="A1:A10"/>
  <sheetViews>
    <sheetView workbookViewId="0">
      <selection activeCell="D8" sqref="D8"/>
    </sheetView>
  </sheetViews>
  <sheetFormatPr defaultColWidth="11.42578125" defaultRowHeight="15"/>
  <cols>
    <col min="1" max="1" width="68.5703125" customWidth="1"/>
  </cols>
  <sheetData>
    <row r="1" spans="1:1" ht="15.75">
      <c r="A1" s="3" t="s">
        <v>22</v>
      </c>
    </row>
    <row r="2" spans="1:1" ht="15.75">
      <c r="A2" s="3"/>
    </row>
    <row r="3" spans="1:1" ht="15.75">
      <c r="A3" s="4" t="s">
        <v>23</v>
      </c>
    </row>
    <row r="4" spans="1:1" ht="60.75">
      <c r="A4" s="5" t="s">
        <v>24</v>
      </c>
    </row>
    <row r="5" spans="1:1">
      <c r="A5" s="6"/>
    </row>
    <row r="6" spans="1:1">
      <c r="A6" s="6"/>
    </row>
    <row r="7" spans="1:1" ht="15.75">
      <c r="A7" s="4" t="s">
        <v>25</v>
      </c>
    </row>
    <row r="8" spans="1:1" ht="60.75">
      <c r="A8" s="5" t="s">
        <v>26</v>
      </c>
    </row>
    <row r="9" spans="1:1" ht="60.75">
      <c r="A9" s="5" t="s">
        <v>27</v>
      </c>
    </row>
    <row r="10" spans="1:1">
      <c r="A10" s="6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EC3320-F805-4B26-A476-0EAE62E5F93C}">
  <dimension ref="A1:G1"/>
  <sheetViews>
    <sheetView zoomScale="70" zoomScaleNormal="70" workbookViewId="0">
      <selection activeCell="N22" sqref="N22"/>
    </sheetView>
  </sheetViews>
  <sheetFormatPr defaultColWidth="11.42578125" defaultRowHeight="15"/>
  <cols>
    <col min="1" max="16384" width="11.42578125" style="20"/>
  </cols>
  <sheetData>
    <row r="1" spans="1:7" ht="26.25">
      <c r="A1" s="21" t="s">
        <v>28</v>
      </c>
      <c r="B1" s="21"/>
      <c r="C1" s="21"/>
      <c r="D1" s="21"/>
      <c r="E1" s="21"/>
      <c r="F1" s="21"/>
      <c r="G1" s="21"/>
    </row>
  </sheetData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3974AB-0A6D-4F1B-BAA8-E8F7F51CCEE8}">
  <dimension ref="A3:B7"/>
  <sheetViews>
    <sheetView workbookViewId="0">
      <selection activeCell="B6" sqref="B6"/>
    </sheetView>
  </sheetViews>
  <sheetFormatPr defaultColWidth="11.42578125" defaultRowHeight="15"/>
  <cols>
    <col min="1" max="1" width="17.85546875" bestFit="1" customWidth="1"/>
    <col min="2" max="2" width="26" bestFit="1" customWidth="1"/>
    <col min="3" max="4" width="32.28515625" bestFit="1" customWidth="1"/>
  </cols>
  <sheetData>
    <row r="3" spans="1:2">
      <c r="A3" s="18" t="s">
        <v>29</v>
      </c>
      <c r="B3" t="s">
        <v>30</v>
      </c>
    </row>
    <row r="4" spans="1:2">
      <c r="A4" s="19" t="s">
        <v>31</v>
      </c>
      <c r="B4">
        <v>1654.0638216666666</v>
      </c>
    </row>
    <row r="5" spans="1:2">
      <c r="A5" s="19" t="s">
        <v>32</v>
      </c>
      <c r="B5">
        <v>1960.1724380000001</v>
      </c>
    </row>
    <row r="6" spans="1:2">
      <c r="A6" s="19" t="s">
        <v>33</v>
      </c>
      <c r="B6">
        <v>1923.9792259999999</v>
      </c>
    </row>
    <row r="7" spans="1:2">
      <c r="A7" s="19" t="s">
        <v>34</v>
      </c>
      <c r="B7">
        <v>1834.071328125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2EF77-814E-42B1-9E9F-CB207F8450B0}">
  <dimension ref="A3:B7"/>
  <sheetViews>
    <sheetView workbookViewId="0">
      <selection activeCell="C15" sqref="C15"/>
    </sheetView>
  </sheetViews>
  <sheetFormatPr defaultColWidth="11.42578125" defaultRowHeight="15"/>
  <cols>
    <col min="1" max="1" width="17.85546875" bestFit="1" customWidth="1"/>
    <col min="2" max="2" width="30.85546875" bestFit="1" customWidth="1"/>
  </cols>
  <sheetData>
    <row r="3" spans="1:2">
      <c r="A3" s="18" t="s">
        <v>29</v>
      </c>
      <c r="B3" t="s">
        <v>35</v>
      </c>
    </row>
    <row r="4" spans="1:2">
      <c r="A4" s="19" t="s">
        <v>31</v>
      </c>
      <c r="B4">
        <v>1631.6460566666665</v>
      </c>
    </row>
    <row r="5" spans="1:2">
      <c r="A5" s="19" t="s">
        <v>32</v>
      </c>
      <c r="B5">
        <v>1703.078516</v>
      </c>
    </row>
    <row r="6" spans="1:2">
      <c r="A6" s="19" t="s">
        <v>33</v>
      </c>
      <c r="B6">
        <v>1462.377244</v>
      </c>
    </row>
    <row r="7" spans="1:2">
      <c r="A7" s="19" t="s">
        <v>34</v>
      </c>
      <c r="B7">
        <v>1601.0721962499999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81B36B-91B6-442B-9785-4C7CEDF83B7A}">
  <dimension ref="A3:A7"/>
  <sheetViews>
    <sheetView workbookViewId="0">
      <selection activeCell="A3" sqref="A3"/>
    </sheetView>
  </sheetViews>
  <sheetFormatPr defaultColWidth="11.42578125" defaultRowHeight="15"/>
  <cols>
    <col min="1" max="1" width="17.85546875" bestFit="1" customWidth="1"/>
  </cols>
  <sheetData>
    <row r="3" spans="1:1">
      <c r="A3" s="18" t="s">
        <v>29</v>
      </c>
    </row>
    <row r="4" spans="1:1">
      <c r="A4" s="19" t="s">
        <v>31</v>
      </c>
    </row>
    <row r="5" spans="1:1">
      <c r="A5" s="19" t="s">
        <v>32</v>
      </c>
    </row>
    <row r="6" spans="1:1">
      <c r="A6" s="19" t="s">
        <v>33</v>
      </c>
    </row>
    <row r="7" spans="1:1">
      <c r="A7" s="19" t="s">
        <v>34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B610A6-7613-42F9-BDFB-71F0F41B6215}">
  <dimension ref="A3:I9"/>
  <sheetViews>
    <sheetView tabSelected="1" workbookViewId="0">
      <selection activeCell="B17" sqref="B17"/>
    </sheetView>
  </sheetViews>
  <sheetFormatPr defaultColWidth="11.42578125" defaultRowHeight="15"/>
  <cols>
    <col min="1" max="1" width="17.85546875" bestFit="1" customWidth="1"/>
    <col min="2" max="2" width="32.28515625" bestFit="1" customWidth="1"/>
  </cols>
  <sheetData>
    <row r="3" spans="1:9">
      <c r="A3" s="18" t="s">
        <v>29</v>
      </c>
      <c r="B3" t="s">
        <v>36</v>
      </c>
    </row>
    <row r="4" spans="1:9">
      <c r="A4" s="19" t="s">
        <v>31</v>
      </c>
      <c r="B4">
        <v>1914.3002716666667</v>
      </c>
      <c r="I4" t="s">
        <v>37</v>
      </c>
    </row>
    <row r="5" spans="1:9">
      <c r="A5" s="19" t="s">
        <v>32</v>
      </c>
      <c r="B5">
        <v>1295.7403799999997</v>
      </c>
      <c r="I5" t="s">
        <v>38</v>
      </c>
    </row>
    <row r="6" spans="1:9">
      <c r="A6" s="19" t="s">
        <v>33</v>
      </c>
      <c r="B6">
        <v>1923.9888920000001</v>
      </c>
      <c r="I6" t="s">
        <v>39</v>
      </c>
    </row>
    <row r="7" spans="1:9">
      <c r="A7" s="19" t="s">
        <v>34</v>
      </c>
      <c r="B7">
        <v>1724.027999375</v>
      </c>
      <c r="I7" t="s">
        <v>40</v>
      </c>
    </row>
    <row r="8" spans="1:9">
      <c r="I8" t="s">
        <v>41</v>
      </c>
    </row>
    <row r="9" spans="1:9">
      <c r="I9" t="s">
        <v>42</v>
      </c>
    </row>
  </sheetData>
  <pageMargins left="0.7" right="0.7" top="0.75" bottom="0.75" header="0.3" footer="0.3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B663A1-1B75-4D98-8FFE-F6BAE2D08938}">
  <dimension ref="A1:AO17"/>
  <sheetViews>
    <sheetView topLeftCell="E1" workbookViewId="0">
      <selection activeCell="H21" sqref="H21"/>
    </sheetView>
  </sheetViews>
  <sheetFormatPr defaultColWidth="11.42578125" defaultRowHeight="15"/>
  <cols>
    <col min="1" max="1" width="20.28515625" customWidth="1"/>
    <col min="3" max="3" width="16" customWidth="1"/>
    <col min="4" max="4" width="20.7109375" customWidth="1"/>
    <col min="5" max="5" width="22" customWidth="1"/>
  </cols>
  <sheetData>
    <row r="1" spans="1:41">
      <c r="A1" t="s">
        <v>43</v>
      </c>
      <c r="B1" t="s">
        <v>44</v>
      </c>
      <c r="C1" t="s">
        <v>2</v>
      </c>
      <c r="D1" t="s">
        <v>3</v>
      </c>
      <c r="E1" t="s">
        <v>4</v>
      </c>
    </row>
    <row r="2" spans="1:41">
      <c r="A2">
        <v>1</v>
      </c>
      <c r="B2" t="s">
        <v>31</v>
      </c>
      <c r="C2">
        <v>1380.63501</v>
      </c>
      <c r="D2">
        <v>1085.99719</v>
      </c>
      <c r="E2">
        <v>1432.6103499999999</v>
      </c>
    </row>
    <row r="3" spans="1:41">
      <c r="A3">
        <v>2</v>
      </c>
      <c r="B3" t="s">
        <v>32</v>
      </c>
      <c r="C3">
        <v>2127.2739299999998</v>
      </c>
      <c r="D3">
        <v>1667.9891399999999</v>
      </c>
      <c r="E3">
        <v>1684.13525</v>
      </c>
    </row>
    <row r="4" spans="1:41" ht="15.75" thickBot="1">
      <c r="A4">
        <v>3</v>
      </c>
      <c r="B4" t="s">
        <v>33</v>
      </c>
      <c r="C4">
        <v>1866.8442399999999</v>
      </c>
      <c r="D4">
        <v>2326.4499500000002</v>
      </c>
      <c r="E4">
        <v>2040.4040500000001</v>
      </c>
      <c r="H4" t="s">
        <v>20</v>
      </c>
      <c r="R4" t="s">
        <v>45</v>
      </c>
      <c r="X4" t="s">
        <v>46</v>
      </c>
      <c r="AA4" t="s">
        <v>47</v>
      </c>
      <c r="AB4">
        <v>0.05</v>
      </c>
      <c r="AI4" t="s">
        <v>48</v>
      </c>
      <c r="AL4" t="s">
        <v>47</v>
      </c>
      <c r="AM4">
        <v>0.05</v>
      </c>
    </row>
    <row r="5" spans="1:41" ht="15.75" thickTop="1">
      <c r="A5">
        <v>4</v>
      </c>
      <c r="B5" t="s">
        <v>31</v>
      </c>
      <c r="C5">
        <v>1692.4486099999999</v>
      </c>
      <c r="D5">
        <v>1710.8425299999999</v>
      </c>
      <c r="E5">
        <v>1963.80188</v>
      </c>
      <c r="X5" s="11" t="s">
        <v>49</v>
      </c>
      <c r="Y5" s="11" t="s">
        <v>50</v>
      </c>
      <c r="Z5" s="11" t="s">
        <v>7</v>
      </c>
      <c r="AA5" s="11" t="s">
        <v>51</v>
      </c>
      <c r="AB5" s="11" t="s">
        <v>52</v>
      </c>
      <c r="AC5" s="11" t="s">
        <v>53</v>
      </c>
      <c r="AI5" s="11" t="s">
        <v>49</v>
      </c>
      <c r="AJ5" s="11" t="s">
        <v>54</v>
      </c>
      <c r="AK5" s="11" t="s">
        <v>55</v>
      </c>
      <c r="AL5" s="11" t="s">
        <v>56</v>
      </c>
      <c r="AM5" s="11" t="s">
        <v>53</v>
      </c>
    </row>
    <row r="6" spans="1:41" ht="15.75" thickBot="1">
      <c r="A6">
        <v>5</v>
      </c>
      <c r="B6" t="s">
        <v>32</v>
      </c>
      <c r="C6">
        <v>1631.75171</v>
      </c>
      <c r="D6">
        <v>1583.14148</v>
      </c>
      <c r="E6">
        <v>1353.53979</v>
      </c>
      <c r="H6" t="s">
        <v>57</v>
      </c>
      <c r="M6" t="s">
        <v>58</v>
      </c>
      <c r="N6">
        <v>0.05</v>
      </c>
      <c r="S6" t="str">
        <f>C1</f>
        <v>AID CARGA(N)</v>
      </c>
      <c r="T6" t="str">
        <f t="shared" ref="T6:U6" si="0">D1</f>
        <v>UPCERA  CARGA(N)</v>
      </c>
      <c r="U6" t="str">
        <f t="shared" si="0"/>
        <v>SAGEMAX  CARGA(N)</v>
      </c>
      <c r="X6" t="str">
        <f>C1</f>
        <v>AID CARGA(N)</v>
      </c>
      <c r="Y6">
        <f>AVERAGE(C2:C17)</f>
        <v>1834.071328125</v>
      </c>
      <c r="Z6">
        <f>COUNT(C2:C17)</f>
        <v>16</v>
      </c>
      <c r="AA6">
        <f>DEVSQ(C2:C17)</f>
        <v>2565347.8811725467</v>
      </c>
      <c r="AI6" t="str">
        <f>C1</f>
        <v>AID CARGA(N)</v>
      </c>
      <c r="AJ6">
        <f>[1]!RANK_SUM(C2:E17,1,1)</f>
        <v>435</v>
      </c>
      <c r="AK6">
        <f>COUNT(C2:C17)</f>
        <v>16</v>
      </c>
      <c r="AL6">
        <f>AJ6/AK6</f>
        <v>27.1875</v>
      </c>
    </row>
    <row r="7" spans="1:41" ht="15.75" thickTop="1">
      <c r="A7">
        <v>6</v>
      </c>
      <c r="B7" t="s">
        <v>33</v>
      </c>
      <c r="C7">
        <v>1940.84485</v>
      </c>
      <c r="D7">
        <v>1250.91272</v>
      </c>
      <c r="E7">
        <v>2205.1357400000002</v>
      </c>
      <c r="H7" s="11" t="s">
        <v>59</v>
      </c>
      <c r="I7" s="11" t="s">
        <v>60</v>
      </c>
      <c r="J7" s="11" t="s">
        <v>61</v>
      </c>
      <c r="K7" s="11" t="s">
        <v>10</v>
      </c>
      <c r="L7" s="11" t="s">
        <v>62</v>
      </c>
      <c r="M7" s="11" t="s">
        <v>63</v>
      </c>
      <c r="N7" s="11" t="s">
        <v>64</v>
      </c>
      <c r="O7" s="11" t="s">
        <v>65</v>
      </c>
      <c r="P7" s="11" t="s">
        <v>66</v>
      </c>
      <c r="R7" t="s">
        <v>67</v>
      </c>
      <c r="S7" s="22">
        <f>MEDIAN(C2:C17)</f>
        <v>1866.24695</v>
      </c>
      <c r="T7" s="23">
        <f t="shared" ref="T7:U7" si="1">MEDIAN(D2:D17)</f>
        <v>1669.49152</v>
      </c>
      <c r="U7" s="24">
        <f t="shared" si="1"/>
        <v>1819.4884050000001</v>
      </c>
      <c r="X7" t="str">
        <f>D1</f>
        <v>UPCERA  CARGA(N)</v>
      </c>
      <c r="Y7">
        <f>AVERAGE(D2:D17)</f>
        <v>1601.0721962499999</v>
      </c>
      <c r="Z7">
        <f>COUNT(D2:D17)</f>
        <v>16</v>
      </c>
      <c r="AA7">
        <f>DEVSQ(D2:D17)</f>
        <v>2539842.4140866743</v>
      </c>
      <c r="AI7" t="str">
        <f>D1</f>
        <v>UPCERA  CARGA(N)</v>
      </c>
      <c r="AJ7">
        <f>[1]!RANK_SUM(C2:E17,2,1)</f>
        <v>326</v>
      </c>
      <c r="AK7">
        <f>COUNT(D2:D17)</f>
        <v>16</v>
      </c>
      <c r="AL7">
        <f>AJ7/AK7</f>
        <v>20.375</v>
      </c>
    </row>
    <row r="8" spans="1:41">
      <c r="A8">
        <v>7</v>
      </c>
      <c r="B8" t="s">
        <v>31</v>
      </c>
      <c r="C8">
        <v>1055.3521699999999</v>
      </c>
      <c r="D8">
        <v>1670.9938999999999</v>
      </c>
      <c r="E8">
        <v>2255.3852499999998</v>
      </c>
      <c r="H8" t="str">
        <f>C1</f>
        <v>AID CARGA(N)</v>
      </c>
      <c r="I8">
        <f>COUNT(C2:C17)</f>
        <v>16</v>
      </c>
      <c r="J8">
        <f>SUM(C2:C17)</f>
        <v>29345.141250000001</v>
      </c>
      <c r="K8">
        <f>AVERAGE(C2:C17)</f>
        <v>1834.071328125</v>
      </c>
      <c r="L8">
        <f>_xlfn.VAR.S(C2:C17)</f>
        <v>171023.1920781697</v>
      </c>
      <c r="M8">
        <f>DEVSQ(C2:C17)</f>
        <v>2565347.8811725467</v>
      </c>
      <c r="N8">
        <f>SQRT(K15/I8)</f>
        <v>103.90061485654209</v>
      </c>
      <c r="O8">
        <f>K8-N8*_xlfn.T.INV.2T(N6,J15)</f>
        <v>1624.8047476356351</v>
      </c>
      <c r="P8">
        <f>K8+N8*_xlfn.T.INV.2T(N6,J15)</f>
        <v>2043.337908614365</v>
      </c>
      <c r="R8" t="s">
        <v>68</v>
      </c>
      <c r="S8" s="25">
        <f>[1]!RANK_SUM(C2:E17, 1,1)</f>
        <v>435</v>
      </c>
      <c r="T8">
        <f>[1]!RANK_SUM(C2:E17, 2,1)</f>
        <v>326</v>
      </c>
      <c r="U8" s="26">
        <f>[1]!RANK_SUM(C2:E17, 3,1)</f>
        <v>415</v>
      </c>
      <c r="X8" t="str">
        <f>E1</f>
        <v>SAGEMAX  CARGA(N)</v>
      </c>
      <c r="Y8">
        <f>AVERAGE(E2:E17)</f>
        <v>1724.027999375</v>
      </c>
      <c r="Z8">
        <f>COUNT(E2:E17)</f>
        <v>16</v>
      </c>
      <c r="AA8">
        <f>DEVSQ(E2:E17)</f>
        <v>2667452.8973893775</v>
      </c>
      <c r="AI8" t="str">
        <f>E1</f>
        <v>SAGEMAX  CARGA(N)</v>
      </c>
      <c r="AJ8">
        <f>[1]!RANK_SUM(C2:E17,3,1)</f>
        <v>415</v>
      </c>
      <c r="AK8">
        <f>COUNT(E2:E17)</f>
        <v>16</v>
      </c>
      <c r="AL8">
        <f>AJ8/AK8</f>
        <v>25.9375</v>
      </c>
    </row>
    <row r="9" spans="1:41">
      <c r="A9">
        <v>8</v>
      </c>
      <c r="B9" t="s">
        <v>32</v>
      </c>
      <c r="C9">
        <v>1252.0658000000001</v>
      </c>
      <c r="D9">
        <v>1383.1646699999999</v>
      </c>
      <c r="E9">
        <v>1127.3741500000001</v>
      </c>
      <c r="H9" t="str">
        <f>D1</f>
        <v>UPCERA  CARGA(N)</v>
      </c>
      <c r="I9">
        <f>COUNT(D2:D17)</f>
        <v>16</v>
      </c>
      <c r="J9">
        <f>SUM(D2:D17)</f>
        <v>25617.155139999999</v>
      </c>
      <c r="K9">
        <f>AVERAGE(D2:D17)</f>
        <v>1601.0721962499999</v>
      </c>
      <c r="L9">
        <f>_xlfn.VAR.S(D2:D17)</f>
        <v>169322.82760577896</v>
      </c>
      <c r="M9">
        <f>DEVSQ(D2:D17)</f>
        <v>2539842.4140866743</v>
      </c>
      <c r="N9">
        <f>SQRT(K15/I9)</f>
        <v>103.90061485654209</v>
      </c>
      <c r="O9">
        <f>K9-N9*_xlfn.T.INV.2T(N6,J15)</f>
        <v>1391.805615760635</v>
      </c>
      <c r="P9">
        <f>K9+N9*_xlfn.T.INV.2T(N6,J15)</f>
        <v>1810.3387767393649</v>
      </c>
      <c r="R9" t="s">
        <v>69</v>
      </c>
      <c r="S9" s="25">
        <f>COUNT(C2:C17)</f>
        <v>16</v>
      </c>
      <c r="T9">
        <f t="shared" ref="T9:U9" si="2">COUNT(D2:D17)</f>
        <v>16</v>
      </c>
      <c r="U9" s="26">
        <f t="shared" si="2"/>
        <v>16</v>
      </c>
      <c r="V9" s="30">
        <f>SUM(S9:U9)</f>
        <v>48</v>
      </c>
      <c r="X9" s="10"/>
      <c r="Y9" s="10"/>
      <c r="Z9" s="10">
        <f>SUM(Z6:Z8)</f>
        <v>48</v>
      </c>
      <c r="AA9" s="10">
        <f>SUM(AA6:AA8)</f>
        <v>7772643.192648598</v>
      </c>
      <c r="AB9" s="10">
        <f>Z9-COUNT(Z6:Z8)</f>
        <v>45</v>
      </c>
      <c r="AC9" s="10">
        <f>[1]!QCRIT(COUNT(Z6:Z8),AB9,AB4,2)</f>
        <v>3.4273333333333333</v>
      </c>
      <c r="AI9" s="10"/>
      <c r="AJ9" s="10"/>
      <c r="AK9" s="10">
        <f>SUM(AK6:AK8)</f>
        <v>48</v>
      </c>
      <c r="AL9" s="10"/>
      <c r="AM9" s="10">
        <f>[1]!QCRIT(COUNT(AK6:AK8),,AM4,2)</f>
        <v>3.3140000000000001</v>
      </c>
    </row>
    <row r="10" spans="1:41" ht="15.75" thickBot="1">
      <c r="A10">
        <v>9</v>
      </c>
      <c r="B10" t="s">
        <v>33</v>
      </c>
      <c r="C10">
        <v>1940.9585</v>
      </c>
      <c r="D10">
        <v>813.19421</v>
      </c>
      <c r="E10">
        <v>1450.7341300000001</v>
      </c>
      <c r="H10" t="str">
        <f>E1</f>
        <v>SAGEMAX  CARGA(N)</v>
      </c>
      <c r="I10">
        <f>COUNT(E2:E17)</f>
        <v>16</v>
      </c>
      <c r="J10">
        <f>SUM(E2:E17)</f>
        <v>27584.447990000001</v>
      </c>
      <c r="K10">
        <f>AVERAGE(E2:E17)</f>
        <v>1724.027999375</v>
      </c>
      <c r="L10">
        <f>_xlfn.VAR.S(E2:E17)</f>
        <v>177830.19315929164</v>
      </c>
      <c r="M10">
        <f>DEVSQ(E2:E17)</f>
        <v>2667452.8973893775</v>
      </c>
      <c r="N10">
        <f>SQRT(K15/I10)</f>
        <v>103.90061485654209</v>
      </c>
      <c r="O10">
        <f>K10-N10*_xlfn.T.INV.2T(N6,J15)</f>
        <v>1514.7614188856351</v>
      </c>
      <c r="P10">
        <f>K10+N10*_xlfn.T.INV.2T(N6,J15)</f>
        <v>1933.294579864365</v>
      </c>
      <c r="R10" t="s">
        <v>70</v>
      </c>
      <c r="S10" s="27">
        <f>S8^2/S9</f>
        <v>11826.5625</v>
      </c>
      <c r="T10" s="28">
        <f t="shared" ref="T10:U10" si="3">T8^2/T9</f>
        <v>6642.25</v>
      </c>
      <c r="U10" s="29">
        <f t="shared" si="3"/>
        <v>10764.0625</v>
      </c>
      <c r="V10" s="31">
        <f>SUM(S10:U10)</f>
        <v>29232.875</v>
      </c>
      <c r="X10" t="s">
        <v>71</v>
      </c>
      <c r="AI10" t="s">
        <v>71</v>
      </c>
    </row>
    <row r="11" spans="1:41" ht="15.75" thickTop="1">
      <c r="A11">
        <v>10</v>
      </c>
      <c r="B11" t="s">
        <v>31</v>
      </c>
      <c r="C11">
        <v>2230.43579</v>
      </c>
      <c r="D11">
        <v>1965.12366</v>
      </c>
      <c r="E11">
        <v>2079.2006799999999</v>
      </c>
      <c r="H11" s="10"/>
      <c r="I11" s="10"/>
      <c r="J11" s="10"/>
      <c r="K11" s="10"/>
      <c r="L11" s="10"/>
      <c r="M11" s="10"/>
      <c r="N11" s="10"/>
      <c r="O11" s="10"/>
      <c r="P11" s="10"/>
      <c r="R11" t="s">
        <v>72</v>
      </c>
      <c r="V11" s="31">
        <f>12*V10/(V9*(V9+1))-3*(V9+1)</f>
        <v>2.1473214285714164</v>
      </c>
      <c r="X11" s="11" t="s">
        <v>73</v>
      </c>
      <c r="Y11" s="11" t="s">
        <v>74</v>
      </c>
      <c r="Z11" s="11" t="s">
        <v>50</v>
      </c>
      <c r="AA11" s="11" t="s">
        <v>75</v>
      </c>
      <c r="AB11" s="11" t="s">
        <v>76</v>
      </c>
      <c r="AC11" s="11" t="s">
        <v>77</v>
      </c>
      <c r="AD11" s="11" t="s">
        <v>78</v>
      </c>
      <c r="AE11" s="11" t="s">
        <v>19</v>
      </c>
      <c r="AF11" s="11" t="s">
        <v>79</v>
      </c>
      <c r="AG11" s="11" t="s">
        <v>80</v>
      </c>
      <c r="AI11" s="11" t="s">
        <v>73</v>
      </c>
      <c r="AJ11" s="11" t="s">
        <v>74</v>
      </c>
      <c r="AK11" s="11" t="s">
        <v>56</v>
      </c>
      <c r="AL11" s="11" t="s">
        <v>75</v>
      </c>
      <c r="AM11" s="11" t="s">
        <v>76</v>
      </c>
      <c r="AN11" s="11" t="s">
        <v>19</v>
      </c>
      <c r="AO11" s="11" t="s">
        <v>81</v>
      </c>
    </row>
    <row r="12" spans="1:41" ht="15.75" thickBot="1">
      <c r="A12">
        <v>11</v>
      </c>
      <c r="B12" t="s">
        <v>32</v>
      </c>
      <c r="C12">
        <v>2854.1635700000002</v>
      </c>
      <c r="D12">
        <v>1959.84265</v>
      </c>
      <c r="E12">
        <v>726.10204999999996</v>
      </c>
      <c r="H12" t="s">
        <v>11</v>
      </c>
      <c r="R12" t="s">
        <v>82</v>
      </c>
      <c r="V12" s="31">
        <f>V11/(1-[1]!TiesCorrection(C2:E17)/(V9*(V9^2-1)))</f>
        <v>2.1473214285714164</v>
      </c>
      <c r="X12" s="10" t="str">
        <f>X6</f>
        <v>AID CARGA(N)</v>
      </c>
      <c r="Y12" s="10" t="str">
        <f>X7</f>
        <v>UPCERA  CARGA(N)</v>
      </c>
      <c r="Z12" s="10">
        <f>ABS(Y6-Y7)</f>
        <v>232.9991318750001</v>
      </c>
      <c r="AA12" s="10">
        <f>SQRT(AA9/AB9/HARMEAN(Z6,Z7))</f>
        <v>103.90061485654209</v>
      </c>
      <c r="AB12" s="10">
        <f>Z12/AA12</f>
        <v>2.2425192786078045</v>
      </c>
      <c r="AC12" s="10">
        <f>Z12-AA12*AC$9</f>
        <v>-123.10290877665517</v>
      </c>
      <c r="AD12" s="10">
        <f>Z12+AA12*AC$9</f>
        <v>589.10117252665532</v>
      </c>
      <c r="AE12" s="10">
        <f>[1]!QDIST(AB12,COUNT($Z$6:$Z$8),AB$9)</f>
        <v>0.26219961139580694</v>
      </c>
      <c r="AF12" s="10">
        <f>AA12*AC$9</f>
        <v>356.10204065165527</v>
      </c>
      <c r="AG12" s="10">
        <f>Z12*SQRT(AB$9/AA$9)</f>
        <v>0.56062981965195102</v>
      </c>
      <c r="AI12" s="10" t="str">
        <f>AI6</f>
        <v>AID CARGA(N)</v>
      </c>
      <c r="AJ12" s="10" t="str">
        <f>AI7</f>
        <v>UPCERA  CARGA(N)</v>
      </c>
      <c r="AK12" s="10">
        <f>ABS(AL6-AL7)</f>
        <v>6.8125</v>
      </c>
      <c r="AL12" s="10">
        <f>SQRT(AK$9*(AK$9+1)/12/HARMEAN(AK6,AK7))</f>
        <v>3.5</v>
      </c>
      <c r="AM12" s="10">
        <f>AK12/AL12</f>
        <v>1.9464285714285714</v>
      </c>
      <c r="AN12" s="10">
        <f>[1]!QDIST(AM12,COUNT(AK$6:AK$8))</f>
        <v>0.35351600128960525</v>
      </c>
      <c r="AO12" s="10">
        <f>AL12*AM$9</f>
        <v>11.599</v>
      </c>
    </row>
    <row r="13" spans="1:41" ht="15.75" thickTop="1">
      <c r="A13">
        <v>12</v>
      </c>
      <c r="B13" t="s">
        <v>33</v>
      </c>
      <c r="C13">
        <v>1865.64966</v>
      </c>
      <c r="D13">
        <v>1786.2017800000001</v>
      </c>
      <c r="E13">
        <v>1848.3429000000001</v>
      </c>
      <c r="H13" s="11" t="s">
        <v>83</v>
      </c>
      <c r="I13" s="11" t="s">
        <v>63</v>
      </c>
      <c r="J13" s="11" t="s">
        <v>52</v>
      </c>
      <c r="K13" s="11" t="s">
        <v>84</v>
      </c>
      <c r="L13" s="11" t="s">
        <v>85</v>
      </c>
      <c r="M13" s="11" t="s">
        <v>86</v>
      </c>
      <c r="N13" s="11" t="s">
        <v>87</v>
      </c>
      <c r="O13" s="11" t="s">
        <v>88</v>
      </c>
      <c r="P13" s="11" t="s">
        <v>89</v>
      </c>
      <c r="R13" t="s">
        <v>52</v>
      </c>
      <c r="V13" s="31">
        <f>COUNTA(S6:U6)-1</f>
        <v>2</v>
      </c>
      <c r="X13" t="str">
        <f>X6</f>
        <v>AID CARGA(N)</v>
      </c>
      <c r="Y13" t="str">
        <f>X8</f>
        <v>SAGEMAX  CARGA(N)</v>
      </c>
      <c r="Z13">
        <f>ABS(Y6-Y8)</f>
        <v>110.04332875</v>
      </c>
      <c r="AA13">
        <f>SQRT(AA9/AB9/HARMEAN(Z6,Z8))</f>
        <v>103.90061485654209</v>
      </c>
      <c r="AB13">
        <f t="shared" ref="AB13:AB14" si="4">Z13/AA13</f>
        <v>1.0591210543069383</v>
      </c>
      <c r="AC13">
        <f t="shared" ref="AC13:AC14" si="5">Z13-AA13*AC$9</f>
        <v>-246.05871190165527</v>
      </c>
      <c r="AD13">
        <f t="shared" ref="AD13:AD14" si="6">Z13+AA13*AC$9</f>
        <v>466.14536940165527</v>
      </c>
      <c r="AE13">
        <f>[1]!QDIST(AB13,COUNT($Z$6:$Z$8),AB$9)</f>
        <v>0.73583615373096689</v>
      </c>
      <c r="AF13">
        <f t="shared" ref="AF13:AF14" si="7">AA13*AC$9</f>
        <v>356.10204065165527</v>
      </c>
      <c r="AG13">
        <f t="shared" ref="AG13:AG14" si="8">Z13*SQRT(AB$9/AA$9)</f>
        <v>0.26478026357673456</v>
      </c>
      <c r="AI13" t="str">
        <f>AI6</f>
        <v>AID CARGA(N)</v>
      </c>
      <c r="AJ13" t="str">
        <f>AI8</f>
        <v>SAGEMAX  CARGA(N)</v>
      </c>
      <c r="AK13">
        <f>ABS(AL6-AL8)</f>
        <v>1.25</v>
      </c>
      <c r="AL13">
        <f>SQRT(AK$9*(AK$9+1)/12/HARMEAN(AK6,AK8))</f>
        <v>3.5</v>
      </c>
      <c r="AM13">
        <f t="shared" ref="AM13:AM14" si="9">AK13/AL13</f>
        <v>0.35714285714285715</v>
      </c>
      <c r="AN13">
        <f>[1]!QDIST(AM13,COUNT(AK$6:AK$8))</f>
        <v>0.96545478873172874</v>
      </c>
      <c r="AO13">
        <f t="shared" ref="AO13:AO14" si="10">AL13*AM$9</f>
        <v>11.599</v>
      </c>
    </row>
    <row r="14" spans="1:41">
      <c r="A14">
        <v>13</v>
      </c>
      <c r="B14" t="s">
        <v>31</v>
      </c>
      <c r="C14">
        <v>1777.1015600000001</v>
      </c>
      <c r="D14">
        <v>2071.3085900000001</v>
      </c>
      <c r="E14">
        <v>1790.63391</v>
      </c>
      <c r="H14" t="s">
        <v>90</v>
      </c>
      <c r="I14">
        <f>I16-I15</f>
        <v>434753.38228798844</v>
      </c>
      <c r="J14">
        <f>COUNTA(H8:H10)-1</f>
        <v>2</v>
      </c>
      <c r="K14">
        <f>I14/J14</f>
        <v>217376.69114399422</v>
      </c>
      <c r="L14">
        <f>K14/K15</f>
        <v>1.258510246647055</v>
      </c>
      <c r="M14">
        <f>_xlfn.F.DIST.RT(L14,J14,J15)</f>
        <v>0.29388305191516251</v>
      </c>
      <c r="N14" s="33">
        <f>I14/I16</f>
        <v>5.2970924253327861E-2</v>
      </c>
      <c r="O14" s="33">
        <f>SQRT(DEVSQ(K8:K10)/(K15*J14))</f>
        <v>0.28045835772078742</v>
      </c>
      <c r="P14" s="33">
        <f>(I16-J16*K15)/(I16+K15)</f>
        <v>1.0656476593932087E-2</v>
      </c>
      <c r="R14" t="s">
        <v>19</v>
      </c>
      <c r="V14" s="31">
        <f>_xlfn.CHISQ.DIST.RT(V12,V13)</f>
        <v>0.34175515673622253</v>
      </c>
      <c r="X14" s="7" t="str">
        <f>X7</f>
        <v>UPCERA  CARGA(N)</v>
      </c>
      <c r="Y14" s="7" t="str">
        <f>X8</f>
        <v>SAGEMAX  CARGA(N)</v>
      </c>
      <c r="Z14" s="7">
        <f>ABS(Y7-Y8)</f>
        <v>122.9558031250001</v>
      </c>
      <c r="AA14" s="7">
        <f>SQRT(AA9/AB9/HARMEAN(Z7,Z8))</f>
        <v>103.90061485654209</v>
      </c>
      <c r="AB14" s="7">
        <f t="shared" si="4"/>
        <v>1.1833982243008661</v>
      </c>
      <c r="AC14" s="7">
        <f t="shared" si="5"/>
        <v>-233.14623752665517</v>
      </c>
      <c r="AD14" s="7">
        <f t="shared" si="6"/>
        <v>479.05784377665537</v>
      </c>
      <c r="AE14" s="7">
        <f>[1]!QDIST(AB14,COUNT($Z$6:$Z$8),AB$9)</f>
        <v>0.68235629877194559</v>
      </c>
      <c r="AF14" s="7">
        <f t="shared" si="7"/>
        <v>356.10204065165527</v>
      </c>
      <c r="AG14" s="7">
        <f t="shared" si="8"/>
        <v>0.29584955607521651</v>
      </c>
      <c r="AI14" s="7" t="str">
        <f>AI7</f>
        <v>UPCERA  CARGA(N)</v>
      </c>
      <c r="AJ14" s="7" t="str">
        <f>AI8</f>
        <v>SAGEMAX  CARGA(N)</v>
      </c>
      <c r="AK14" s="7">
        <f>ABS(AL7-AL8)</f>
        <v>5.5625</v>
      </c>
      <c r="AL14" s="7">
        <f>SQRT(AK$9*(AK$9+1)/12/HARMEAN(AK7,AK8))</f>
        <v>3.5</v>
      </c>
      <c r="AM14" s="7">
        <f t="shared" si="9"/>
        <v>1.5892857142857142</v>
      </c>
      <c r="AN14" s="7">
        <f>[1]!QDIST(AM14,COUNT(AK$6:AK$8))</f>
        <v>0.49945277603675098</v>
      </c>
      <c r="AO14" s="7">
        <f t="shared" si="10"/>
        <v>11.599</v>
      </c>
    </row>
    <row r="15" spans="1:41">
      <c r="A15">
        <v>14</v>
      </c>
      <c r="B15" t="s">
        <v>32</v>
      </c>
      <c r="C15">
        <v>1935.60718</v>
      </c>
      <c r="D15">
        <v>1921.2546400000001</v>
      </c>
      <c r="E15">
        <v>1587.5506600000001</v>
      </c>
      <c r="H15" t="s">
        <v>91</v>
      </c>
      <c r="I15">
        <f>SUM(M8:M10)</f>
        <v>7772643.192648598</v>
      </c>
      <c r="J15">
        <f>J16-J14</f>
        <v>45</v>
      </c>
      <c r="K15">
        <f>I15/J15</f>
        <v>172725.40428107994</v>
      </c>
      <c r="R15" t="s">
        <v>47</v>
      </c>
      <c r="V15" s="31">
        <v>0.05</v>
      </c>
    </row>
    <row r="16" spans="1:41">
      <c r="A16">
        <v>15</v>
      </c>
      <c r="B16" t="s">
        <v>33</v>
      </c>
      <c r="C16">
        <v>2005.59888</v>
      </c>
      <c r="D16">
        <v>1135.1275599999999</v>
      </c>
      <c r="E16">
        <v>2075.32764</v>
      </c>
      <c r="H16" s="7" t="s">
        <v>92</v>
      </c>
      <c r="I16" s="7">
        <f>DEVSQ(C2:E17)</f>
        <v>8207396.5749365864</v>
      </c>
      <c r="J16" s="7">
        <f>COUNT(C2:E17)-1</f>
        <v>47</v>
      </c>
      <c r="K16" s="7">
        <f>I16/J16</f>
        <v>174625.45904120395</v>
      </c>
      <c r="L16" s="7"/>
      <c r="M16" s="7"/>
      <c r="N16" s="7"/>
      <c r="O16" s="7"/>
      <c r="P16" s="7"/>
      <c r="R16" t="s">
        <v>93</v>
      </c>
      <c r="V16" s="32" t="str">
        <f>IF(V14&lt;V15,"yes","no")</f>
        <v>no</v>
      </c>
    </row>
    <row r="17" spans="1:5">
      <c r="A17">
        <v>16</v>
      </c>
      <c r="B17" t="s">
        <v>31</v>
      </c>
      <c r="C17">
        <v>1788.4097899999999</v>
      </c>
      <c r="D17">
        <v>1285.6104700000001</v>
      </c>
      <c r="E17">
        <v>1964.16956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C24B2A-A837-4F45-9C2A-9F977826CC93}">
  <dimension ref="A1:AE37"/>
  <sheetViews>
    <sheetView workbookViewId="0">
      <selection sqref="A1:XFD1"/>
    </sheetView>
  </sheetViews>
  <sheetFormatPr defaultColWidth="11.42578125" defaultRowHeight="15"/>
  <cols>
    <col min="2" max="2" width="18.7109375" customWidth="1"/>
  </cols>
  <sheetData>
    <row r="1" spans="1:14">
      <c r="A1" t="s">
        <v>43</v>
      </c>
      <c r="B1" t="s">
        <v>2</v>
      </c>
      <c r="C1" t="s">
        <v>3</v>
      </c>
      <c r="D1" t="s">
        <v>4</v>
      </c>
    </row>
    <row r="2" spans="1:14">
      <c r="A2" s="1">
        <v>1</v>
      </c>
      <c r="B2" s="1">
        <v>1380.63501</v>
      </c>
      <c r="C2" s="1">
        <v>1085.99719</v>
      </c>
      <c r="D2" s="1">
        <v>1432.6103499999999</v>
      </c>
      <c r="F2" t="s">
        <v>94</v>
      </c>
      <c r="K2" t="s">
        <v>95</v>
      </c>
    </row>
    <row r="3" spans="1:14">
      <c r="A3" s="1">
        <v>2</v>
      </c>
      <c r="B3" s="1">
        <v>2127.2739299999998</v>
      </c>
      <c r="C3" s="1">
        <v>1667.9891399999999</v>
      </c>
      <c r="D3" s="1">
        <v>1684.13525</v>
      </c>
    </row>
    <row r="4" spans="1:14">
      <c r="A4" s="1">
        <v>3</v>
      </c>
      <c r="B4" s="1">
        <v>1866.8442399999999</v>
      </c>
      <c r="C4" s="1">
        <v>2326.4499500000002</v>
      </c>
      <c r="D4" s="1">
        <v>2040.4040500000001</v>
      </c>
      <c r="F4" s="8"/>
      <c r="G4" s="8" t="str">
        <f>B1</f>
        <v>AID CARGA(N)</v>
      </c>
      <c r="H4" s="8" t="str">
        <f t="shared" ref="H4:I4" si="0">C1</f>
        <v>UPCERA  CARGA(N)</v>
      </c>
      <c r="I4" s="8" t="str">
        <f t="shared" si="0"/>
        <v>SAGEMAX  CARGA(N)</v>
      </c>
      <c r="K4" s="8"/>
      <c r="L4" s="8" t="str">
        <f>B1</f>
        <v>AID CARGA(N)</v>
      </c>
      <c r="M4" s="8" t="str">
        <f t="shared" ref="M4:N4" si="1">C1</f>
        <v>UPCERA  CARGA(N)</v>
      </c>
      <c r="N4" s="8" t="str">
        <f t="shared" si="1"/>
        <v>SAGEMAX  CARGA(N)</v>
      </c>
    </row>
    <row r="5" spans="1:14">
      <c r="A5" s="1">
        <v>4</v>
      </c>
      <c r="B5" s="1">
        <v>1692.4486099999999</v>
      </c>
      <c r="C5" s="1">
        <v>1710.8425299999999</v>
      </c>
      <c r="D5" s="1">
        <v>1963.80188</v>
      </c>
      <c r="F5" t="s">
        <v>10</v>
      </c>
      <c r="G5">
        <f>AVERAGE(B2:B17)</f>
        <v>1834.071328125</v>
      </c>
      <c r="H5">
        <f t="shared" ref="H5:I5" si="2">AVERAGE(C2:C17)</f>
        <v>1601.0721962499999</v>
      </c>
      <c r="I5">
        <f t="shared" si="2"/>
        <v>1724.027999375</v>
      </c>
      <c r="K5" t="s">
        <v>96</v>
      </c>
      <c r="L5">
        <f>[1]!SHAPIRO(B2:B17)</f>
        <v>0.9404502879617006</v>
      </c>
      <c r="M5">
        <f>[1]!SHAPIRO(C2:C17)</f>
        <v>0.97808345871510416</v>
      </c>
      <c r="N5">
        <f>[1]!SHAPIRO(D2:D17)</f>
        <v>0.93161777913993971</v>
      </c>
    </row>
    <row r="6" spans="1:14">
      <c r="A6" s="1">
        <v>5</v>
      </c>
      <c r="B6" s="1">
        <v>1631.75171</v>
      </c>
      <c r="C6" s="1">
        <v>1583.14148</v>
      </c>
      <c r="D6" s="1">
        <v>1353.53979</v>
      </c>
      <c r="F6" t="s">
        <v>13</v>
      </c>
      <c r="G6">
        <f>_xlfn.STDEV.S(B2:B17)/SQRT(COUNT(B2:B17))</f>
        <v>103.38737594544899</v>
      </c>
      <c r="H6">
        <f t="shared" ref="H6:I6" si="3">_xlfn.STDEV.S(C2:C17)/SQRT(COUNT(C2:C17))</f>
        <v>102.87213775051623</v>
      </c>
      <c r="I6">
        <f t="shared" si="3"/>
        <v>105.42479344279374</v>
      </c>
      <c r="K6" t="s">
        <v>19</v>
      </c>
      <c r="L6">
        <f>[1]!SWTEST(B2:B17)</f>
        <v>0.35456600532172144</v>
      </c>
      <c r="M6">
        <f>[1]!SWTEST(C2:C17)</f>
        <v>0.94655623909661968</v>
      </c>
      <c r="N6">
        <f>[1]!SWTEST(D2:D17)</f>
        <v>0.25858338861688168</v>
      </c>
    </row>
    <row r="7" spans="1:14">
      <c r="A7" s="1">
        <v>6</v>
      </c>
      <c r="B7" s="1">
        <v>1940.84485</v>
      </c>
      <c r="C7" s="1">
        <v>1250.91272</v>
      </c>
      <c r="D7" s="1">
        <v>2205.1357400000002</v>
      </c>
      <c r="F7" t="s">
        <v>15</v>
      </c>
      <c r="G7">
        <f>MEDIAN(B2:B17)</f>
        <v>1866.24695</v>
      </c>
      <c r="H7">
        <f t="shared" ref="H7:I7" si="4">MEDIAN(C2:C17)</f>
        <v>1669.49152</v>
      </c>
      <c r="I7">
        <f t="shared" si="4"/>
        <v>1819.4884050000001</v>
      </c>
      <c r="K7" t="s">
        <v>47</v>
      </c>
      <c r="L7">
        <v>0.05</v>
      </c>
      <c r="M7">
        <v>0.05</v>
      </c>
      <c r="N7">
        <v>0.05</v>
      </c>
    </row>
    <row r="8" spans="1:14">
      <c r="A8" s="1">
        <v>7</v>
      </c>
      <c r="B8" s="1">
        <v>1055.3521699999999</v>
      </c>
      <c r="C8" s="1">
        <v>1670.9938999999999</v>
      </c>
      <c r="D8" s="1">
        <v>2255.3852499999998</v>
      </c>
      <c r="F8" t="s">
        <v>97</v>
      </c>
      <c r="G8" t="e">
        <f>MODE(B2:B17)</f>
        <v>#N/A</v>
      </c>
      <c r="H8" t="e">
        <f t="shared" ref="H8:I8" si="5">MODE(C2:C17)</f>
        <v>#N/A</v>
      </c>
      <c r="I8" t="e">
        <f t="shared" si="5"/>
        <v>#N/A</v>
      </c>
      <c r="K8" s="7" t="s">
        <v>98</v>
      </c>
      <c r="L8" s="9" t="str">
        <f>IF(L6&lt;L7,"no","yes")</f>
        <v>yes</v>
      </c>
      <c r="M8" s="9" t="str">
        <f t="shared" ref="M8:N8" si="6">IF(M6&lt;M7,"no","yes")</f>
        <v>yes</v>
      </c>
      <c r="N8" s="9" t="str">
        <f t="shared" si="6"/>
        <v>yes</v>
      </c>
    </row>
    <row r="9" spans="1:14">
      <c r="A9" s="1">
        <v>8</v>
      </c>
      <c r="B9" s="1">
        <v>1252.0658000000001</v>
      </c>
      <c r="C9" s="1">
        <v>1383.1646699999999</v>
      </c>
      <c r="D9" s="1">
        <v>1127.3741500000001</v>
      </c>
      <c r="F9" t="s">
        <v>99</v>
      </c>
      <c r="G9">
        <f>_xlfn.STDEV.S(B2:B17)</f>
        <v>413.54950378179598</v>
      </c>
      <c r="H9">
        <f t="shared" ref="H9:I9" si="7">_xlfn.STDEV.S(C2:C17)</f>
        <v>411.48855100206492</v>
      </c>
      <c r="I9">
        <f t="shared" si="7"/>
        <v>421.69917377117497</v>
      </c>
    </row>
    <row r="10" spans="1:14">
      <c r="A10" s="1">
        <v>9</v>
      </c>
      <c r="B10" s="1">
        <v>1940.9585</v>
      </c>
      <c r="C10" s="1">
        <v>813.19421</v>
      </c>
      <c r="D10" s="1">
        <v>1450.7341300000001</v>
      </c>
      <c r="F10" t="s">
        <v>100</v>
      </c>
      <c r="G10">
        <f>_xlfn.VAR.S(B2:B17)</f>
        <v>171023.1920781697</v>
      </c>
      <c r="H10">
        <f t="shared" ref="H10:I10" si="8">_xlfn.VAR.S(C2:C17)</f>
        <v>169322.82760577896</v>
      </c>
      <c r="I10">
        <f t="shared" si="8"/>
        <v>177830.19315929164</v>
      </c>
      <c r="K10" t="s">
        <v>101</v>
      </c>
    </row>
    <row r="11" spans="1:14">
      <c r="A11" s="1">
        <v>10</v>
      </c>
      <c r="B11" s="1">
        <v>2230.43579</v>
      </c>
      <c r="C11" s="1">
        <v>1965.12366</v>
      </c>
      <c r="D11" s="1">
        <v>2079.2006799999999</v>
      </c>
      <c r="F11" t="s">
        <v>102</v>
      </c>
      <c r="G11">
        <f>KURT(B2:B17)</f>
        <v>1.887795946831293</v>
      </c>
      <c r="H11">
        <f t="shared" ref="H11:I11" si="9">KURT(C2:C17)</f>
        <v>-0.57487626769092781</v>
      </c>
      <c r="I11">
        <f t="shared" si="9"/>
        <v>0.48715692460407922</v>
      </c>
    </row>
    <row r="12" spans="1:14">
      <c r="A12" s="1">
        <v>11</v>
      </c>
      <c r="B12" s="1">
        <v>2854.1635700000002</v>
      </c>
      <c r="C12" s="1">
        <v>1959.84265</v>
      </c>
      <c r="D12" s="1">
        <v>726.10204999999996</v>
      </c>
      <c r="F12" t="s">
        <v>103</v>
      </c>
      <c r="G12">
        <f>SKEW(B2:B17)</f>
        <v>0.41321252413320225</v>
      </c>
      <c r="H12">
        <f t="shared" ref="H12:I12" si="10">SKEW(C2:C17)</f>
        <v>-0.20815203986565819</v>
      </c>
      <c r="I12">
        <f t="shared" si="10"/>
        <v>-0.9080552912867188</v>
      </c>
      <c r="K12" s="10" t="s">
        <v>104</v>
      </c>
      <c r="L12" s="10">
        <f>[1]!DAGOSTINO(B2:B17)</f>
        <v>3.0551963074959687</v>
      </c>
      <c r="M12" s="10">
        <f>[1]!DAGOSTINO(C2:C17)</f>
        <v>0.33642598424279258</v>
      </c>
      <c r="N12" s="10">
        <f>[1]!DAGOSTINO(D2:D17)</f>
        <v>3.0770819735545314</v>
      </c>
    </row>
    <row r="13" spans="1:14">
      <c r="A13" s="1">
        <v>12</v>
      </c>
      <c r="B13" s="1">
        <v>1865.64966</v>
      </c>
      <c r="C13" s="1">
        <v>1786.2017800000001</v>
      </c>
      <c r="D13" s="1">
        <v>1848.3429000000001</v>
      </c>
      <c r="F13" t="s">
        <v>105</v>
      </c>
      <c r="G13">
        <f>G14-G15</f>
        <v>1798.8114000000003</v>
      </c>
      <c r="H13">
        <f t="shared" ref="H13:I13" si="11">H14-H15</f>
        <v>1513.2557400000001</v>
      </c>
      <c r="I13">
        <f t="shared" si="11"/>
        <v>1529.2831999999999</v>
      </c>
      <c r="K13" t="s">
        <v>19</v>
      </c>
      <c r="L13">
        <f>[1]!DPTEST(B2:B17)</f>
        <v>0.21705637777989006</v>
      </c>
      <c r="M13">
        <f>[1]!DPTEST(C2:C17)</f>
        <v>0.84517380015172794</v>
      </c>
      <c r="N13">
        <f>[1]!DPTEST(D2:D17)</f>
        <v>0.21469411457830112</v>
      </c>
    </row>
    <row r="14" spans="1:14">
      <c r="A14" s="1">
        <v>13</v>
      </c>
      <c r="B14" s="1">
        <v>1777.1015600000001</v>
      </c>
      <c r="C14" s="1">
        <v>2071.3085900000001</v>
      </c>
      <c r="D14" s="1">
        <v>1790.63391</v>
      </c>
      <c r="F14" t="s">
        <v>16</v>
      </c>
      <c r="G14">
        <f>MAX(B2:B17)</f>
        <v>2854.1635700000002</v>
      </c>
      <c r="H14">
        <f t="shared" ref="H14:I14" si="12">MAX(C2:C17)</f>
        <v>2326.4499500000002</v>
      </c>
      <c r="I14">
        <f t="shared" si="12"/>
        <v>2255.3852499999998</v>
      </c>
      <c r="K14" t="s">
        <v>47</v>
      </c>
      <c r="L14">
        <v>0.05</v>
      </c>
      <c r="M14">
        <v>0.05</v>
      </c>
      <c r="N14">
        <v>0.05</v>
      </c>
    </row>
    <row r="15" spans="1:14">
      <c r="A15" s="1">
        <v>14</v>
      </c>
      <c r="B15" s="1">
        <v>1935.60718</v>
      </c>
      <c r="C15" s="1">
        <v>1921.2546400000001</v>
      </c>
      <c r="D15" s="1">
        <v>1587.5506600000001</v>
      </c>
      <c r="F15" t="s">
        <v>17</v>
      </c>
      <c r="G15">
        <f>MIN(B2:B17)</f>
        <v>1055.3521699999999</v>
      </c>
      <c r="H15">
        <f t="shared" ref="H15:I15" si="13">MIN(C2:C17)</f>
        <v>813.19421</v>
      </c>
      <c r="I15">
        <f t="shared" si="13"/>
        <v>726.10204999999996</v>
      </c>
      <c r="K15" s="7" t="s">
        <v>98</v>
      </c>
      <c r="L15" s="9" t="str">
        <f>IF(L13&lt;L14,"no","yes")</f>
        <v>yes</v>
      </c>
      <c r="M15" s="9" t="str">
        <f t="shared" ref="M15:N15" si="14">IF(M13&lt;M14,"no","yes")</f>
        <v>yes</v>
      </c>
      <c r="N15" s="9" t="str">
        <f t="shared" si="14"/>
        <v>yes</v>
      </c>
    </row>
    <row r="16" spans="1:14">
      <c r="A16" s="1">
        <v>15</v>
      </c>
      <c r="B16" s="1">
        <v>2005.59888</v>
      </c>
      <c r="C16" s="1">
        <v>1135.1275599999999</v>
      </c>
      <c r="D16" s="1">
        <v>2075.32764</v>
      </c>
      <c r="F16" t="s">
        <v>61</v>
      </c>
      <c r="G16">
        <f>SUM(B2:B17)</f>
        <v>29345.141250000001</v>
      </c>
      <c r="H16">
        <f t="shared" ref="H16:I16" si="15">SUM(C2:C17)</f>
        <v>25617.155139999999</v>
      </c>
      <c r="I16">
        <f t="shared" si="15"/>
        <v>27584.447990000001</v>
      </c>
    </row>
    <row r="17" spans="1:31">
      <c r="A17" s="1">
        <v>16</v>
      </c>
      <c r="B17" s="1">
        <v>1788.4097899999999</v>
      </c>
      <c r="C17" s="1">
        <v>1285.6104700000001</v>
      </c>
      <c r="D17" s="1">
        <v>1964.16956</v>
      </c>
      <c r="F17" t="s">
        <v>60</v>
      </c>
      <c r="G17">
        <f>COUNT(B2:B17)</f>
        <v>16</v>
      </c>
      <c r="H17">
        <f t="shared" ref="H17:I17" si="16">COUNT(C2:C17)</f>
        <v>16</v>
      </c>
      <c r="I17">
        <f t="shared" si="16"/>
        <v>16</v>
      </c>
    </row>
    <row r="18" spans="1:31">
      <c r="F18" t="s">
        <v>106</v>
      </c>
      <c r="G18">
        <f>GEOMEAN(B2:B17)</f>
        <v>1789.3567171547509</v>
      </c>
      <c r="H18">
        <f t="shared" ref="H18:I18" si="17">GEOMEAN(C2:C17)</f>
        <v>1546.6429030020618</v>
      </c>
      <c r="I18">
        <f t="shared" si="17"/>
        <v>1663.5990334595422</v>
      </c>
    </row>
    <row r="19" spans="1:31">
      <c r="F19" t="s">
        <v>107</v>
      </c>
      <c r="G19">
        <f>HARMEAN(B2:B17)</f>
        <v>1742.4916257437285</v>
      </c>
      <c r="H19">
        <f t="shared" ref="H19:I19" si="18">HARMEAN(C2:C17)</f>
        <v>1487.2729337618343</v>
      </c>
      <c r="I19">
        <f t="shared" si="18"/>
        <v>1587.0423585825743</v>
      </c>
    </row>
    <row r="20" spans="1:31">
      <c r="F20" t="s">
        <v>108</v>
      </c>
      <c r="G20">
        <f>AVEDEV(B2:B17)</f>
        <v>282.59183085937497</v>
      </c>
      <c r="H20">
        <f t="shared" ref="H20:I20" si="19">AVEDEV(C2:C17)</f>
        <v>333.79463421875005</v>
      </c>
      <c r="I20">
        <f t="shared" si="19"/>
        <v>338.268701953125</v>
      </c>
    </row>
    <row r="21" spans="1:31">
      <c r="F21" t="s">
        <v>109</v>
      </c>
      <c r="G21">
        <f>[1]!MAD(B2:B17)</f>
        <v>156.57513500000005</v>
      </c>
      <c r="H21">
        <f>[1]!MAD(C2:C17)</f>
        <v>292.99163499999997</v>
      </c>
      <c r="I21">
        <f>[1]!MAD(D2:D17)</f>
        <v>257.77575499999989</v>
      </c>
    </row>
    <row r="22" spans="1:31">
      <c r="F22" s="7" t="s">
        <v>18</v>
      </c>
      <c r="G22" s="7">
        <f>[1]!IQR(B2:B17,FALSE)</f>
        <v>279.84420999999998</v>
      </c>
      <c r="H22" s="7">
        <f>[1]!IQR(C2:C17,FALSE)</f>
        <v>653.96560999999997</v>
      </c>
      <c r="I22" s="7">
        <f>[1]!IQR(D2:D17,FALSE)</f>
        <v>602.9317625000001</v>
      </c>
    </row>
    <row r="25" spans="1:31" ht="15.75" thickBot="1">
      <c r="G25" t="s">
        <v>2</v>
      </c>
      <c r="H25" t="s">
        <v>3</v>
      </c>
      <c r="I25" t="s">
        <v>4</v>
      </c>
      <c r="L25" t="s">
        <v>20</v>
      </c>
      <c r="V25" t="s">
        <v>46</v>
      </c>
      <c r="Y25" t="s">
        <v>47</v>
      </c>
      <c r="Z25">
        <v>0.05</v>
      </c>
    </row>
    <row r="26" spans="1:31" ht="15.75" thickTop="1">
      <c r="F26" t="s">
        <v>7</v>
      </c>
      <c r="G26">
        <v>16</v>
      </c>
      <c r="H26">
        <v>16</v>
      </c>
      <c r="I26">
        <v>16</v>
      </c>
      <c r="V26" s="11" t="s">
        <v>49</v>
      </c>
      <c r="W26" s="11" t="s">
        <v>50</v>
      </c>
      <c r="X26" s="11" t="s">
        <v>7</v>
      </c>
      <c r="Y26" s="11" t="s">
        <v>51</v>
      </c>
      <c r="Z26" s="11" t="s">
        <v>52</v>
      </c>
      <c r="AA26" s="11" t="s">
        <v>53</v>
      </c>
    </row>
    <row r="27" spans="1:31" ht="15.75" thickBot="1">
      <c r="F27" t="s">
        <v>10</v>
      </c>
      <c r="G27">
        <v>1834.071328125</v>
      </c>
      <c r="H27">
        <v>1601.0721962499999</v>
      </c>
      <c r="I27">
        <v>1724.027999375</v>
      </c>
      <c r="L27" t="s">
        <v>57</v>
      </c>
      <c r="Q27" t="s">
        <v>58</v>
      </c>
      <c r="R27">
        <v>0.05</v>
      </c>
      <c r="V27" t="str">
        <f>B1</f>
        <v>AID CARGA(N)</v>
      </c>
      <c r="W27">
        <f>AVERAGE(B2:B17)</f>
        <v>1834.071328125</v>
      </c>
      <c r="X27">
        <f>COUNT(B2:B17)</f>
        <v>16</v>
      </c>
      <c r="Y27">
        <f>DEVSQ(B2:B17)</f>
        <v>2565347.8811725467</v>
      </c>
    </row>
    <row r="28" spans="1:31" ht="15.75" thickTop="1">
      <c r="F28" t="s">
        <v>13</v>
      </c>
      <c r="G28">
        <v>103.38737594544899</v>
      </c>
      <c r="H28">
        <v>102.87213775051623</v>
      </c>
      <c r="I28">
        <v>105.42479344279374</v>
      </c>
      <c r="L28" s="11" t="s">
        <v>59</v>
      </c>
      <c r="M28" s="11" t="s">
        <v>60</v>
      </c>
      <c r="N28" s="11" t="s">
        <v>61</v>
      </c>
      <c r="O28" s="11" t="s">
        <v>10</v>
      </c>
      <c r="P28" s="11" t="s">
        <v>62</v>
      </c>
      <c r="Q28" s="11" t="s">
        <v>63</v>
      </c>
      <c r="R28" s="11" t="s">
        <v>64</v>
      </c>
      <c r="S28" s="11" t="s">
        <v>65</v>
      </c>
      <c r="T28" s="11" t="s">
        <v>66</v>
      </c>
      <c r="V28" t="str">
        <f>C1</f>
        <v>UPCERA  CARGA(N)</v>
      </c>
      <c r="W28">
        <f>AVERAGE(C2:C17)</f>
        <v>1601.0721962499999</v>
      </c>
      <c r="X28">
        <f>COUNT(C2:C17)</f>
        <v>16</v>
      </c>
      <c r="Y28">
        <f>DEVSQ(C2:C17)</f>
        <v>2539842.4140866743</v>
      </c>
    </row>
    <row r="29" spans="1:31">
      <c r="F29" t="s">
        <v>15</v>
      </c>
      <c r="G29">
        <v>1866.24695</v>
      </c>
      <c r="H29">
        <v>1669.49152</v>
      </c>
      <c r="I29">
        <v>1819.4884050000001</v>
      </c>
      <c r="L29" t="str">
        <f>B1</f>
        <v>AID CARGA(N)</v>
      </c>
      <c r="M29">
        <f>COUNT(B2:B17)</f>
        <v>16</v>
      </c>
      <c r="N29">
        <f>SUM(B2:B17)</f>
        <v>29345.141250000001</v>
      </c>
      <c r="O29">
        <f>AVERAGE(B2:B17)</f>
        <v>1834.071328125</v>
      </c>
      <c r="P29">
        <f>_xlfn.VAR.S(B2:B17)</f>
        <v>171023.1920781697</v>
      </c>
      <c r="Q29">
        <f>DEVSQ(B2:B17)</f>
        <v>2565347.8811725467</v>
      </c>
      <c r="R29">
        <f>SQRT(O36/M29)</f>
        <v>103.90061485654209</v>
      </c>
      <c r="S29">
        <f>O29-R29*_xlfn.T.INV.2T(R27,N36)</f>
        <v>1624.8047476356351</v>
      </c>
      <c r="T29">
        <f>O29+R29*_xlfn.T.INV.2T(R27,N36)</f>
        <v>2043.337908614365</v>
      </c>
      <c r="V29" t="str">
        <f>D1</f>
        <v>SAGEMAX  CARGA(N)</v>
      </c>
      <c r="W29">
        <f>AVERAGE(D2:D17)</f>
        <v>1724.027999375</v>
      </c>
      <c r="X29">
        <f>COUNT(D2:D17)</f>
        <v>16</v>
      </c>
      <c r="Y29">
        <f>DEVSQ(D2:D17)</f>
        <v>2667452.8973893775</v>
      </c>
    </row>
    <row r="30" spans="1:31">
      <c r="F30" t="s">
        <v>16</v>
      </c>
      <c r="G30">
        <v>2854.1635700000002</v>
      </c>
      <c r="H30">
        <v>2326.4499500000002</v>
      </c>
      <c r="I30">
        <v>2255.3852499999998</v>
      </c>
      <c r="L30" t="str">
        <f>C1</f>
        <v>UPCERA  CARGA(N)</v>
      </c>
      <c r="M30">
        <f>COUNT(C2:C17)</f>
        <v>16</v>
      </c>
      <c r="N30">
        <f>SUM(C2:C17)</f>
        <v>25617.155139999999</v>
      </c>
      <c r="O30">
        <f>AVERAGE(C2:C17)</f>
        <v>1601.0721962499999</v>
      </c>
      <c r="P30">
        <f>_xlfn.VAR.S(C2:C17)</f>
        <v>169322.82760577896</v>
      </c>
      <c r="Q30">
        <f>DEVSQ(C2:C17)</f>
        <v>2539842.4140866743</v>
      </c>
      <c r="R30">
        <f>SQRT(O36/M30)</f>
        <v>103.90061485654209</v>
      </c>
      <c r="S30">
        <f>O30-R30*_xlfn.T.INV.2T(R27,N36)</f>
        <v>1391.805615760635</v>
      </c>
      <c r="T30">
        <f>O30+R30*_xlfn.T.INV.2T(R27,N36)</f>
        <v>1810.3387767393649</v>
      </c>
      <c r="V30" s="10"/>
      <c r="W30" s="10"/>
      <c r="X30" s="10">
        <f>SUM(X27:X29)</f>
        <v>48</v>
      </c>
      <c r="Y30" s="10">
        <f>SUM(Y27:Y29)</f>
        <v>7772643.192648598</v>
      </c>
      <c r="Z30" s="10">
        <f>X30-COUNT(X27:X29)</f>
        <v>45</v>
      </c>
      <c r="AA30" s="10">
        <f>[1]!QCRIT(COUNT(X27:X29),Z30,Z25,2)</f>
        <v>3.4273333333333333</v>
      </c>
    </row>
    <row r="31" spans="1:31" ht="15.75" thickBot="1">
      <c r="F31" t="s">
        <v>17</v>
      </c>
      <c r="G31">
        <v>1055.3521699999999</v>
      </c>
      <c r="H31">
        <v>813.19421</v>
      </c>
      <c r="I31">
        <v>726.10204999999996</v>
      </c>
      <c r="L31" t="str">
        <f>D1</f>
        <v>SAGEMAX  CARGA(N)</v>
      </c>
      <c r="M31">
        <f>COUNT(D2:D17)</f>
        <v>16</v>
      </c>
      <c r="N31">
        <f>SUM(D2:D17)</f>
        <v>27584.447990000001</v>
      </c>
      <c r="O31">
        <f>AVERAGE(D2:D17)</f>
        <v>1724.027999375</v>
      </c>
      <c r="P31">
        <f>_xlfn.VAR.S(D2:D17)</f>
        <v>177830.19315929164</v>
      </c>
      <c r="Q31">
        <f>DEVSQ(D2:D17)</f>
        <v>2667452.8973893775</v>
      </c>
      <c r="R31">
        <f>SQRT(O36/M31)</f>
        <v>103.90061485654209</v>
      </c>
      <c r="S31">
        <f>O31-R31*_xlfn.T.INV.2T(R27,N36)</f>
        <v>1514.7614188856351</v>
      </c>
      <c r="T31">
        <f>O31+R31*_xlfn.T.INV.2T(R27,N36)</f>
        <v>1933.294579864365</v>
      </c>
      <c r="V31" t="s">
        <v>71</v>
      </c>
    </row>
    <row r="32" spans="1:31" ht="15.75" thickTop="1">
      <c r="F32" t="s">
        <v>18</v>
      </c>
      <c r="G32">
        <v>279.84420999999998</v>
      </c>
      <c r="H32">
        <v>653.96560999999997</v>
      </c>
      <c r="I32">
        <v>602.9317625000001</v>
      </c>
      <c r="L32" s="10"/>
      <c r="M32" s="10"/>
      <c r="N32" s="10"/>
      <c r="O32" s="10"/>
      <c r="P32" s="10"/>
      <c r="Q32" s="10"/>
      <c r="R32" s="10"/>
      <c r="S32" s="10"/>
      <c r="T32" s="10"/>
      <c r="V32" s="11" t="s">
        <v>73</v>
      </c>
      <c r="W32" s="11" t="s">
        <v>74</v>
      </c>
      <c r="X32" s="11" t="s">
        <v>50</v>
      </c>
      <c r="Y32" s="11" t="s">
        <v>75</v>
      </c>
      <c r="Z32" s="11" t="s">
        <v>76</v>
      </c>
      <c r="AA32" s="11" t="s">
        <v>77</v>
      </c>
      <c r="AB32" s="11" t="s">
        <v>78</v>
      </c>
      <c r="AC32" s="11" t="s">
        <v>19</v>
      </c>
      <c r="AD32" s="11" t="s">
        <v>79</v>
      </c>
      <c r="AE32" s="11" t="s">
        <v>80</v>
      </c>
    </row>
    <row r="33" spans="6:31" ht="15.75" thickBot="1">
      <c r="F33" t="s">
        <v>19</v>
      </c>
      <c r="G33">
        <v>0.21705637777989006</v>
      </c>
      <c r="H33">
        <v>0.84517380015172794</v>
      </c>
      <c r="I33">
        <v>0.21469411457830112</v>
      </c>
      <c r="L33" t="s">
        <v>11</v>
      </c>
      <c r="V33" s="10" t="str">
        <f>V27</f>
        <v>AID CARGA(N)</v>
      </c>
      <c r="W33" s="10" t="str">
        <f>V28</f>
        <v>UPCERA  CARGA(N)</v>
      </c>
      <c r="X33" s="10">
        <f>ABS(W27-W28)</f>
        <v>232.9991318750001</v>
      </c>
      <c r="Y33" s="10">
        <f>SQRT(Y30/Z30/HARMEAN(X27,X28))</f>
        <v>103.90061485654209</v>
      </c>
      <c r="Z33" s="10">
        <f>X33/Y33</f>
        <v>2.2425192786078045</v>
      </c>
      <c r="AA33" s="10">
        <f>X33-Y33*AA$30</f>
        <v>-123.10290877665517</v>
      </c>
      <c r="AB33" s="10">
        <f>X33+Y33*AA$30</f>
        <v>589.10117252665532</v>
      </c>
      <c r="AC33" s="10">
        <f>[1]!QDIST(Z33,COUNT($X$27:$X$29),Z$30)</f>
        <v>0.26219961139580694</v>
      </c>
      <c r="AD33" s="10">
        <f>Y33*AA$30</f>
        <v>356.10204065165527</v>
      </c>
      <c r="AE33" s="10">
        <f>X33*SQRT(Z$30/Y$30)</f>
        <v>0.56062981965195102</v>
      </c>
    </row>
    <row r="34" spans="6:31" ht="15.75" thickTop="1">
      <c r="F34" t="s">
        <v>20</v>
      </c>
      <c r="G34">
        <v>0.29388305191516251</v>
      </c>
      <c r="L34" s="11" t="s">
        <v>83</v>
      </c>
      <c r="M34" s="11" t="s">
        <v>63</v>
      </c>
      <c r="N34" s="11" t="s">
        <v>52</v>
      </c>
      <c r="O34" s="11" t="s">
        <v>84</v>
      </c>
      <c r="P34" s="11" t="s">
        <v>85</v>
      </c>
      <c r="Q34" s="11" t="s">
        <v>86</v>
      </c>
      <c r="R34" s="11" t="s">
        <v>87</v>
      </c>
      <c r="S34" s="11" t="s">
        <v>88</v>
      </c>
      <c r="T34" s="11" t="s">
        <v>89</v>
      </c>
      <c r="V34" t="str">
        <f>V27</f>
        <v>AID CARGA(N)</v>
      </c>
      <c r="W34" t="str">
        <f>V29</f>
        <v>SAGEMAX  CARGA(N)</v>
      </c>
      <c r="X34">
        <f>ABS(W27-W29)</f>
        <v>110.04332875</v>
      </c>
      <c r="Y34">
        <f>SQRT(Y30/Z30/HARMEAN(X27,X29))</f>
        <v>103.90061485654209</v>
      </c>
      <c r="Z34">
        <f t="shared" ref="Z34:Z35" si="20">X34/Y34</f>
        <v>1.0591210543069383</v>
      </c>
      <c r="AA34">
        <f t="shared" ref="AA34:AA35" si="21">X34-Y34*AA$30</f>
        <v>-246.05871190165527</v>
      </c>
      <c r="AB34">
        <f t="shared" ref="AB34:AB35" si="22">X34+Y34*AA$30</f>
        <v>466.14536940165527</v>
      </c>
      <c r="AC34">
        <f>[1]!QDIST(Z34,COUNT($X$27:$X$29),Z$30)</f>
        <v>0.73583615373096689</v>
      </c>
      <c r="AD34">
        <f t="shared" ref="AD34:AD35" si="23">Y34*AA$30</f>
        <v>356.10204065165527</v>
      </c>
      <c r="AE34">
        <f t="shared" ref="AE34:AE35" si="24">X34*SQRT(Z$30/Y$30)</f>
        <v>0.26478026357673456</v>
      </c>
    </row>
    <row r="35" spans="6:31">
      <c r="L35" t="s">
        <v>90</v>
      </c>
      <c r="M35">
        <f>M37-M36</f>
        <v>434753.38228798844</v>
      </c>
      <c r="N35">
        <f>COUNTA(L29:L31)-1</f>
        <v>2</v>
      </c>
      <c r="O35">
        <f>M35/N35</f>
        <v>217376.69114399422</v>
      </c>
      <c r="P35">
        <f>O35/O36</f>
        <v>1.258510246647055</v>
      </c>
      <c r="Q35">
        <f>_xlfn.F.DIST.RT(P35,N35,N36)</f>
        <v>0.29388305191516251</v>
      </c>
      <c r="R35">
        <f>M35/M37</f>
        <v>5.2970924253327861E-2</v>
      </c>
      <c r="S35">
        <f>SQRT(DEVSQ(O29:O31)/(O36*N35))</f>
        <v>0.28045835772078742</v>
      </c>
      <c r="T35">
        <f>(M37-N37*O36)/(M37+O36)</f>
        <v>1.0656476593932087E-2</v>
      </c>
      <c r="V35" s="7" t="str">
        <f>V28</f>
        <v>UPCERA  CARGA(N)</v>
      </c>
      <c r="W35" s="7" t="str">
        <f>V29</f>
        <v>SAGEMAX  CARGA(N)</v>
      </c>
      <c r="X35" s="7">
        <f>ABS(W28-W29)</f>
        <v>122.9558031250001</v>
      </c>
      <c r="Y35" s="7">
        <f>SQRT(Y30/Z30/HARMEAN(X28,X29))</f>
        <v>103.90061485654209</v>
      </c>
      <c r="Z35" s="7">
        <f t="shared" si="20"/>
        <v>1.1833982243008661</v>
      </c>
      <c r="AA35" s="7">
        <f t="shared" si="21"/>
        <v>-233.14623752665517</v>
      </c>
      <c r="AB35" s="7">
        <f t="shared" si="22"/>
        <v>479.05784377665537</v>
      </c>
      <c r="AC35" s="7">
        <f>[1]!QDIST(Z35,COUNT($X$27:$X$29),Z$30)</f>
        <v>0.68235629877194559</v>
      </c>
      <c r="AD35" s="7">
        <f t="shared" si="23"/>
        <v>356.10204065165527</v>
      </c>
      <c r="AE35" s="7">
        <f t="shared" si="24"/>
        <v>0.29584955607521651</v>
      </c>
    </row>
    <row r="36" spans="6:31">
      <c r="L36" t="s">
        <v>91</v>
      </c>
      <c r="M36">
        <f>SUM(Q29:Q31)</f>
        <v>7772643.192648598</v>
      </c>
      <c r="N36">
        <f>N37-N35</f>
        <v>45</v>
      </c>
      <c r="O36">
        <f>M36/N36</f>
        <v>172725.40428107994</v>
      </c>
    </row>
    <row r="37" spans="6:31">
      <c r="L37" s="7" t="s">
        <v>92</v>
      </c>
      <c r="M37" s="7">
        <f>DEVSQ(B2:D17)</f>
        <v>8207396.5749365864</v>
      </c>
      <c r="N37" s="7">
        <f>COUNT(B2:D17)-1</f>
        <v>47</v>
      </c>
      <c r="O37" s="7">
        <f>M37/N37</f>
        <v>174625.45904120395</v>
      </c>
      <c r="P37" s="7"/>
      <c r="Q37" s="7"/>
      <c r="R37" s="7"/>
      <c r="S37" s="7"/>
      <c r="T37" s="7"/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jenny carolina aguilar lopez</dc:creator>
  <cp:keywords/>
  <dc:description/>
  <cp:lastModifiedBy>Ana Elizabeth Ibañez Frade</cp:lastModifiedBy>
  <cp:revision/>
  <dcterms:created xsi:type="dcterms:W3CDTF">2024-03-26T22:41:50Z</dcterms:created>
  <dcterms:modified xsi:type="dcterms:W3CDTF">2025-01-17T16:31:50Z</dcterms:modified>
  <cp:category/>
  <cp:contentStatus/>
</cp:coreProperties>
</file>