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ACE/Negocios/TNE 005/"/>
    </mc:Choice>
  </mc:AlternateContent>
  <xr:revisionPtr revIDLastSave="0" documentId="8_{23CD9394-1F90-479E-8998-1E68D6A8CBA9}" xr6:coauthVersionLast="47" xr6:coauthVersionMax="47" xr10:uidLastSave="{00000000-0000-0000-0000-000000000000}"/>
  <workbookProtection workbookAlgorithmName="SHA-512" workbookHashValue="71vF4mQUM1bp1+OFF8Ze7NA9rAr+HkNqw3efY9QA/LmwLZVND5GvZukomSqc+dOW4LTPJ03OABOUT0RQFJrXtw==" workbookSaltValue="9TZeuyCJZvgMy+TXn2cUAw==" workbookSpinCount="100000" lockStructure="1"/>
  <bookViews>
    <workbookView xWindow="-120" yWindow="-120" windowWidth="20730" windowHeight="11160" xr2:uid="{00000000-000D-0000-FFFF-FFFF00000000}"/>
  </bookViews>
  <sheets>
    <sheet name="estudio financiero " sheetId="1" r:id="rId1"/>
    <sheet name="equipo y depreciacion" sheetId="2" r:id="rId2"/>
    <sheet name="encuestas 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C35" i="3"/>
  <c r="C30" i="3"/>
  <c r="C24" i="3"/>
  <c r="C20" i="3"/>
  <c r="C8" i="3"/>
  <c r="C2" i="3"/>
  <c r="D11" i="1" l="1"/>
  <c r="M20" i="1"/>
  <c r="M21" i="1"/>
  <c r="M19" i="1"/>
  <c r="M17" i="1"/>
  <c r="H16" i="1"/>
  <c r="H17" i="1"/>
  <c r="H15" i="1"/>
  <c r="F42" i="1"/>
  <c r="E11" i="1"/>
  <c r="F11" i="1"/>
  <c r="G11" i="1"/>
  <c r="H11" i="1"/>
  <c r="F41" i="1"/>
  <c r="E33" i="1"/>
  <c r="F46" i="1" s="1"/>
  <c r="J35" i="2"/>
  <c r="E42" i="2"/>
  <c r="K36" i="2" s="1"/>
  <c r="E43" i="2"/>
  <c r="K37" i="2" s="1"/>
  <c r="E44" i="2"/>
  <c r="K38" i="2" s="1"/>
  <c r="E41" i="2"/>
  <c r="K35" i="2" s="1"/>
  <c r="J31" i="2"/>
  <c r="I31" i="2"/>
  <c r="K31" i="2"/>
  <c r="L31" i="2"/>
  <c r="M31" i="2"/>
  <c r="N31" i="2"/>
  <c r="L20" i="2"/>
  <c r="J20" i="2"/>
  <c r="M20" i="2"/>
  <c r="K20" i="2"/>
  <c r="I20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19" i="2"/>
  <c r="J37" i="2" l="1"/>
  <c r="L37" i="2"/>
  <c r="L35" i="2"/>
  <c r="K39" i="2"/>
  <c r="I36" i="2"/>
  <c r="I38" i="2"/>
  <c r="L38" i="2"/>
  <c r="J38" i="2"/>
  <c r="L36" i="2"/>
  <c r="J36" i="2"/>
  <c r="E45" i="2"/>
  <c r="I35" i="2"/>
  <c r="I37" i="2"/>
  <c r="M38" i="2"/>
  <c r="M37" i="2"/>
  <c r="M36" i="2"/>
  <c r="M35" i="2"/>
  <c r="E36" i="2"/>
  <c r="J39" i="2" l="1"/>
  <c r="M39" i="2"/>
  <c r="L39" i="2"/>
  <c r="I39" i="2"/>
  <c r="K12" i="1"/>
  <c r="L12" i="1"/>
  <c r="D10" i="1" l="1"/>
  <c r="N17" i="1"/>
  <c r="N18" i="1" s="1"/>
  <c r="F39" i="1" l="1"/>
  <c r="E36" i="1"/>
  <c r="H24" i="1"/>
  <c r="D23" i="1" l="1"/>
  <c r="E47" i="1" s="1"/>
  <c r="M12" i="1" l="1"/>
  <c r="E10" i="1"/>
  <c r="F36" i="1" s="1"/>
  <c r="F40" i="1"/>
  <c r="D54" i="1" s="1"/>
  <c r="N12" i="1"/>
  <c r="D53" i="1"/>
  <c r="F10" i="1" l="1"/>
  <c r="G36" i="1" s="1"/>
  <c r="G10" i="1"/>
  <c r="H36" i="1" s="1"/>
  <c r="O12" i="1"/>
  <c r="D55" i="1"/>
  <c r="J49" i="1"/>
  <c r="E59" i="1" l="1"/>
  <c r="H41" i="1"/>
  <c r="H10" i="1"/>
  <c r="I36" i="1" s="1"/>
  <c r="J40" i="1" s="1"/>
  <c r="I41" i="1"/>
  <c r="I40" i="1"/>
  <c r="E43" i="1"/>
  <c r="E45" i="1" s="1"/>
  <c r="G41" i="1"/>
  <c r="G39" i="1"/>
  <c r="E53" i="1" s="1"/>
  <c r="H39" i="1"/>
  <c r="F53" i="1" s="1"/>
  <c r="I39" i="1"/>
  <c r="G53" i="1" s="1"/>
  <c r="G40" i="1"/>
  <c r="H40" i="1"/>
  <c r="E54" i="1" l="1"/>
  <c r="J41" i="1"/>
  <c r="J39" i="1"/>
  <c r="H53" i="1" s="1"/>
  <c r="D62" i="1" s="1"/>
  <c r="F54" i="1"/>
  <c r="F55" i="1" s="1"/>
  <c r="E50" i="1"/>
  <c r="D68" i="1" s="1"/>
  <c r="H20" i="1"/>
  <c r="J48" i="1" s="1"/>
  <c r="G54" i="1"/>
  <c r="G55" i="1" s="1"/>
  <c r="H59" i="1" s="1"/>
  <c r="G33" i="1"/>
  <c r="I33" i="1"/>
  <c r="J47" i="1" s="1"/>
  <c r="H33" i="1"/>
  <c r="E55" i="1" l="1"/>
  <c r="G59" i="1"/>
  <c r="F33" i="1"/>
  <c r="H54" i="1"/>
  <c r="D63" i="1" s="1"/>
  <c r="D59" i="1"/>
  <c r="F59" i="1"/>
  <c r="F43" i="1"/>
  <c r="H42" i="1"/>
  <c r="H43" i="1" s="1"/>
  <c r="H55" i="1" l="1"/>
  <c r="I56" i="1" s="1"/>
  <c r="D64" i="1"/>
  <c r="D65" i="1" s="1"/>
  <c r="H46" i="1"/>
  <c r="H44" i="1"/>
  <c r="H45" i="1" s="1"/>
  <c r="H50" i="1" s="1"/>
  <c r="G68" i="1" s="1"/>
  <c r="I46" i="1"/>
  <c r="I42" i="1"/>
  <c r="I43" i="1" s="1"/>
  <c r="F44" i="1"/>
  <c r="F45" i="1" s="1"/>
  <c r="F50" i="1" s="1"/>
  <c r="J46" i="1"/>
  <c r="J42" i="1"/>
  <c r="J43" i="1" s="1"/>
  <c r="G46" i="1"/>
  <c r="G42" i="1"/>
  <c r="G43" i="1" s="1"/>
  <c r="I59" i="1" l="1"/>
  <c r="J60" i="1" s="1"/>
  <c r="E68" i="1"/>
  <c r="E69" i="1" s="1"/>
  <c r="J44" i="1"/>
  <c r="J45" i="1" s="1"/>
  <c r="J50" i="1" s="1"/>
  <c r="I68" i="1" s="1"/>
  <c r="G44" i="1"/>
  <c r="G45" i="1" s="1"/>
  <c r="G50" i="1" s="1"/>
  <c r="F68" i="1" s="1"/>
  <c r="I44" i="1"/>
  <c r="I45" i="1" s="1"/>
  <c r="I50" i="1" s="1"/>
  <c r="H68" i="1" s="1"/>
  <c r="K49" i="1" l="1"/>
  <c r="K50" i="1" s="1"/>
  <c r="F69" i="1"/>
  <c r="G69" i="1" s="1"/>
  <c r="H69" i="1" s="1"/>
  <c r="I69" i="1" s="1"/>
</calcChain>
</file>

<file path=xl/sharedStrings.xml><?xml version="1.0" encoding="utf-8"?>
<sst xmlns="http://schemas.openxmlformats.org/spreadsheetml/2006/main" count="204" uniqueCount="134">
  <si>
    <t>DATOS DE SALIDA</t>
  </si>
  <si>
    <t>ingresos</t>
  </si>
  <si>
    <t>+</t>
  </si>
  <si>
    <t>costos variables</t>
  </si>
  <si>
    <t>-</t>
  </si>
  <si>
    <t xml:space="preserve">costos fijos </t>
  </si>
  <si>
    <t>depreciacion</t>
  </si>
  <si>
    <t>=</t>
  </si>
  <si>
    <t>impuestos</t>
  </si>
  <si>
    <t xml:space="preserve">valor residual </t>
  </si>
  <si>
    <t xml:space="preserve">flujo de caja operacional </t>
  </si>
  <si>
    <t>ingresos por ventas</t>
  </si>
  <si>
    <t>costos fijos</t>
  </si>
  <si>
    <t>año 1</t>
  </si>
  <si>
    <t>año 2</t>
  </si>
  <si>
    <t>año 3</t>
  </si>
  <si>
    <t>año 4</t>
  </si>
  <si>
    <t>año 5</t>
  </si>
  <si>
    <t>inversiones iniciales</t>
  </si>
  <si>
    <t>capital de trabajo</t>
  </si>
  <si>
    <t>DEPRECIACIONES</t>
  </si>
  <si>
    <t>presupuesto de reposicion maquinarias y equipos</t>
  </si>
  <si>
    <t>recuperacion del capital de trabajo</t>
  </si>
  <si>
    <t>inversiones total</t>
  </si>
  <si>
    <t>inversion total</t>
  </si>
  <si>
    <t>año 0</t>
  </si>
  <si>
    <t>recuperacion capital de trabajo</t>
  </si>
  <si>
    <t>utilidad despues de impuestos</t>
  </si>
  <si>
    <t>utilidad antes de impuestos</t>
  </si>
  <si>
    <t>TIR</t>
  </si>
  <si>
    <t>RELACION BENEFICO COSTO</t>
  </si>
  <si>
    <t xml:space="preserve">TIEMPO RECUPERACION DE INVERSION </t>
  </si>
  <si>
    <t>VPN</t>
  </si>
  <si>
    <t xml:space="preserve">Proyeccion de ventas </t>
  </si>
  <si>
    <t xml:space="preserve">año 1 </t>
  </si>
  <si>
    <t xml:space="preserve">año 2 </t>
  </si>
  <si>
    <t xml:space="preserve">año 3 </t>
  </si>
  <si>
    <t xml:space="preserve">año 5 </t>
  </si>
  <si>
    <t xml:space="preserve">Ventas </t>
  </si>
  <si>
    <t>Aumento en venta en %</t>
  </si>
  <si>
    <t xml:space="preserve">ingresos </t>
  </si>
  <si>
    <t xml:space="preserve">egresos </t>
  </si>
  <si>
    <t>egresos+inv incial</t>
  </si>
  <si>
    <t>total</t>
  </si>
  <si>
    <t xml:space="preserve">total </t>
  </si>
  <si>
    <t>Total</t>
  </si>
  <si>
    <t xml:space="preserve">valor venta </t>
  </si>
  <si>
    <t>Ventas mensuales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</si>
  <si>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Multímetro digital 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</si>
  <si>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Tornos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</si>
  <si>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Fresadoras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</si>
  <si>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Laminadoras</t>
    </r>
  </si>
  <si>
    <t>Prensas hidráulicas</t>
  </si>
  <si>
    <t>Taladros industriales</t>
  </si>
  <si>
    <t>Soldadoras industriales</t>
  </si>
  <si>
    <t>Equipos de electroerosión</t>
  </si>
  <si>
    <t>Equipos de conformación por ‘chorro de plasma’</t>
  </si>
  <si>
    <t>Equipos de conformación por ultrasonido</t>
  </si>
  <si>
    <t>Inyectoras de plástico</t>
  </si>
  <si>
    <t>CASCOS BUNKER DIELECTRICO CON RACHET</t>
  </si>
  <si>
    <t>ESLINGA DOBLE TERMINAL EN Y CON GANCHO ESTRUCTURERO A-0358</t>
  </si>
  <si>
    <t xml:space="preserve">Llave Speedy doble rache </t>
  </si>
  <si>
    <t>Juego de destornillador ratchet</t>
  </si>
  <si>
    <t>Linterna recargable</t>
  </si>
  <si>
    <t xml:space="preserve">Pistola de impacto neumático </t>
  </si>
  <si>
    <t>DETALLE</t>
  </si>
  <si>
    <t>VALOR UNIDAD</t>
  </si>
  <si>
    <t>CANTIDA</t>
  </si>
  <si>
    <t xml:space="preserve">VALOR TOTAL </t>
  </si>
  <si>
    <t xml:space="preserve">TOTAL </t>
  </si>
  <si>
    <t>depreciacion herramienta</t>
  </si>
  <si>
    <t>herramienta</t>
  </si>
  <si>
    <t>oficina</t>
  </si>
  <si>
    <t xml:space="preserve">DESCRIBCIONES </t>
  </si>
  <si>
    <t>agua</t>
  </si>
  <si>
    <t>luz</t>
  </si>
  <si>
    <t>internet y telefonia</t>
  </si>
  <si>
    <t>papeleria</t>
  </si>
  <si>
    <t>dotacion</t>
  </si>
  <si>
    <t>mes 1</t>
  </si>
  <si>
    <t>mes 2</t>
  </si>
  <si>
    <t>mes 3</t>
  </si>
  <si>
    <t>mes 4</t>
  </si>
  <si>
    <t>mes 5</t>
  </si>
  <si>
    <t>mes 6</t>
  </si>
  <si>
    <t>TOTAL</t>
  </si>
  <si>
    <t xml:space="preserve">arriendo </t>
  </si>
  <si>
    <t>computadores</t>
  </si>
  <si>
    <t>impresora</t>
  </si>
  <si>
    <t xml:space="preserve">escritorio </t>
  </si>
  <si>
    <t>telefonos fijos</t>
  </si>
  <si>
    <t>CANT</t>
  </si>
  <si>
    <t>VALOR UNID.</t>
  </si>
  <si>
    <t>VALOR TOTAL</t>
  </si>
  <si>
    <t>equip, oficina</t>
  </si>
  <si>
    <t>depreciacion equip. Oficina</t>
  </si>
  <si>
    <t xml:space="preserve">herramienta </t>
  </si>
  <si>
    <t>equipo de oficina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</si>
  <si>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Tipo de compañía 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</si>
  <si>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Pymes 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</si>
  <si>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Pequeña empresa 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</si>
  <si>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Mediana empresa 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</si>
  <si>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grande empresa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</si>
  <si>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Cual de las siguientes categorías describe mejor la industria en la que se desempeña la compañía 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</si>
  <si>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Servicios de consultoría 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</si>
  <si>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Educación 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</si>
  <si>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Entretenimiento </t>
    </r>
  </si>
  <si>
    <r>
      <t>E.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Tecnología de información </t>
    </r>
  </si>
  <si>
    <r>
      <t>F.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Sin fines de lucro </t>
    </r>
  </si>
  <si>
    <r>
      <t>G.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Farmacéuticos </t>
    </r>
  </si>
  <si>
    <r>
      <t>H.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Servicios técnicos </t>
    </r>
  </si>
  <si>
    <r>
      <t>I.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 xml:space="preserve">Alimentos </t>
    </r>
  </si>
  <si>
    <r>
      <t>J.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Otro _________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</si>
  <si>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Como da respuesta a los problemas eléctricos de su empresa: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</si>
  <si>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Cuenta con personal calificado al interior de su compañía 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</si>
  <si>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Contrata a terceros.</t>
    </r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</si>
  <si>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Cada cuanto hace mantenimiento a su sistema eléctrico 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</si>
  <si>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CADA 6 MESES 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</si>
  <si>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CADA AÑO 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</si>
  <si>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CADA 2 AÑOS 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</si>
  <si>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SOLO CUADO TIENE UN PROBLEMA CON EL SISTEMA </t>
    </r>
  </si>
  <si>
    <r>
      <t>5)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Estaría dispuesto a contratar una empresa con poca experiencia para desarrollar sus proyectos de ingeniería 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</si>
  <si>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Si 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</si>
  <si>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No 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</si>
  <si>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Quizás </t>
    </r>
  </si>
  <si>
    <r>
      <t>6)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Cree usted que en el mercado de ingeniería es suficiente la oferta que existe 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</si>
  <si>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Si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</si>
  <si>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No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</si>
  <si>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No sabe /no responde</t>
    </r>
  </si>
  <si>
    <r>
      <t>7)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De que cree usted que depende el precio de un arreglo eléctrico en su empresa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</si>
  <si>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Calidad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</si>
  <si>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Rapidez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</si>
  <si>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Las dos 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</si>
  <si>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Servicios de gobierno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</si>
</sst>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_-;\-&quot;$&quot;* #,##0_-;_-&quot;$&quot;* &quot;-&quot;_-;_-@_-"/>
    <numFmt numFmtId="165" formatCode="&quot;$&quot;\ #,##0.00_);[Red]\(&quot;$&quot;\ #,##0.00\)"/>
    <numFmt numFmtId="166" formatCode="_(&quot;$&quot;\ * #,##0.00_);_(&quot;$&quot;\ * \(#,##0.00\);_(&quot;$&quot;\ * &quot;-&quot;??_);_(@_)"/>
    <numFmt numFmtId="167" formatCode="&quot;$&quot;\ #,##0"/>
    <numFmt numFmtId="168" formatCode="_(&quot;$&quot;\ * #,##0_);_(&quot;$&quot;\ * \(#,##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0" xfId="0" applyNumberFormat="1"/>
    <xf numFmtId="164" fontId="0" fillId="0" borderId="13" xfId="1" applyFont="1" applyBorder="1"/>
    <xf numFmtId="164" fontId="0" fillId="0" borderId="14" xfId="1" applyFont="1" applyBorder="1"/>
    <xf numFmtId="164" fontId="0" fillId="0" borderId="0" xfId="1" applyFont="1" applyBorder="1"/>
    <xf numFmtId="0" fontId="0" fillId="0" borderId="15" xfId="0" applyBorder="1"/>
    <xf numFmtId="164" fontId="0" fillId="0" borderId="16" xfId="1" applyFont="1" applyBorder="1"/>
    <xf numFmtId="0" fontId="0" fillId="0" borderId="16" xfId="0" applyBorder="1"/>
    <xf numFmtId="0" fontId="0" fillId="2" borderId="5" xfId="0" applyFill="1" applyBorder="1"/>
    <xf numFmtId="164" fontId="0" fillId="2" borderId="7" xfId="1" applyFont="1" applyFill="1" applyBorder="1"/>
    <xf numFmtId="164" fontId="0" fillId="2" borderId="7" xfId="0" applyNumberFormat="1" applyFill="1" applyBorder="1"/>
    <xf numFmtId="0" fontId="0" fillId="0" borderId="2" xfId="0" applyBorder="1"/>
    <xf numFmtId="164" fontId="0" fillId="0" borderId="1" xfId="1" applyFont="1" applyBorder="1"/>
    <xf numFmtId="164" fontId="0" fillId="0" borderId="2" xfId="1" applyFont="1" applyBorder="1"/>
    <xf numFmtId="164" fontId="0" fillId="0" borderId="4" xfId="1" applyFont="1" applyBorder="1"/>
    <xf numFmtId="0" fontId="0" fillId="4" borderId="5" xfId="0" applyFill="1" applyBorder="1"/>
    <xf numFmtId="164" fontId="0" fillId="4" borderId="7" xfId="0" applyNumberFormat="1" applyFill="1" applyBorder="1"/>
    <xf numFmtId="0" fontId="0" fillId="0" borderId="3" xfId="0" applyBorder="1" applyAlignment="1">
      <alignment horizontal="center"/>
    </xf>
    <xf numFmtId="164" fontId="0" fillId="0" borderId="1" xfId="0" applyNumberFormat="1" applyBorder="1"/>
    <xf numFmtId="9" fontId="2" fillId="0" borderId="12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10" fontId="0" fillId="0" borderId="0" xfId="0" applyNumberFormat="1"/>
    <xf numFmtId="0" fontId="0" fillId="2" borderId="21" xfId="0" applyFill="1" applyBorder="1"/>
    <xf numFmtId="164" fontId="0" fillId="0" borderId="13" xfId="0" applyNumberFormat="1" applyBorder="1"/>
    <xf numFmtId="0" fontId="0" fillId="6" borderId="9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2" xfId="0" applyFill="1" applyBorder="1"/>
    <xf numFmtId="164" fontId="0" fillId="0" borderId="12" xfId="0" applyNumberFormat="1" applyBorder="1"/>
    <xf numFmtId="164" fontId="0" fillId="0" borderId="23" xfId="0" applyNumberFormat="1" applyBorder="1"/>
    <xf numFmtId="10" fontId="0" fillId="2" borderId="24" xfId="0" applyNumberFormat="1" applyFill="1" applyBorder="1"/>
    <xf numFmtId="0" fontId="0" fillId="5" borderId="20" xfId="0" applyFill="1" applyBorder="1"/>
    <xf numFmtId="0" fontId="0" fillId="0" borderId="20" xfId="0" applyBorder="1"/>
    <xf numFmtId="3" fontId="0" fillId="0" borderId="0" xfId="0" applyNumberFormat="1"/>
    <xf numFmtId="167" fontId="0" fillId="0" borderId="0" xfId="0" applyNumberFormat="1"/>
    <xf numFmtId="3" fontId="0" fillId="0" borderId="8" xfId="0" applyNumberFormat="1" applyBorder="1"/>
    <xf numFmtId="0" fontId="0" fillId="0" borderId="17" xfId="0" applyBorder="1"/>
    <xf numFmtId="164" fontId="0" fillId="0" borderId="17" xfId="1" applyFont="1" applyBorder="1"/>
    <xf numFmtId="168" fontId="0" fillId="0" borderId="0" xfId="2" applyNumberFormat="1" applyFont="1"/>
    <xf numFmtId="168" fontId="0" fillId="0" borderId="0" xfId="1" applyNumberFormat="1" applyFont="1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164" fontId="0" fillId="0" borderId="17" xfId="0" applyNumberFormat="1" applyBorder="1"/>
    <xf numFmtId="0" fontId="0" fillId="6" borderId="3" xfId="0" applyFill="1" applyBorder="1"/>
    <xf numFmtId="0" fontId="0" fillId="2" borderId="4" xfId="0" applyFill="1" applyBorder="1"/>
    <xf numFmtId="0" fontId="0" fillId="2" borderId="32" xfId="0" applyFill="1" applyBorder="1"/>
    <xf numFmtId="0" fontId="0" fillId="6" borderId="3" xfId="0" applyFill="1" applyBorder="1" applyAlignment="1">
      <alignment wrapText="1"/>
    </xf>
    <xf numFmtId="0" fontId="0" fillId="0" borderId="33" xfId="0" applyBorder="1"/>
    <xf numFmtId="164" fontId="0" fillId="0" borderId="34" xfId="0" applyNumberFormat="1" applyBorder="1"/>
    <xf numFmtId="164" fontId="0" fillId="0" borderId="14" xfId="0" applyNumberFormat="1" applyBorder="1"/>
    <xf numFmtId="0" fontId="0" fillId="6" borderId="35" xfId="0" applyFill="1" applyBorder="1" applyAlignment="1">
      <alignment wrapText="1"/>
    </xf>
    <xf numFmtId="0" fontId="0" fillId="5" borderId="0" xfId="0" applyFill="1"/>
    <xf numFmtId="0" fontId="0" fillId="5" borderId="22" xfId="0" applyFill="1" applyBorder="1"/>
    <xf numFmtId="165" fontId="0" fillId="0" borderId="36" xfId="0" applyNumberFormat="1" applyBorder="1"/>
    <xf numFmtId="0" fontId="0" fillId="5" borderId="37" xfId="0" applyFill="1" applyBorder="1"/>
    <xf numFmtId="165" fontId="0" fillId="0" borderId="38" xfId="0" applyNumberFormat="1" applyBorder="1"/>
    <xf numFmtId="0" fontId="0" fillId="5" borderId="37" xfId="0" applyFill="1" applyBorder="1" applyAlignment="1">
      <alignment wrapText="1"/>
    </xf>
    <xf numFmtId="0" fontId="0" fillId="0" borderId="39" xfId="0" applyBorder="1"/>
    <xf numFmtId="2" fontId="3" fillId="2" borderId="24" xfId="0" applyNumberFormat="1" applyFont="1" applyFill="1" applyBorder="1"/>
    <xf numFmtId="0" fontId="0" fillId="2" borderId="1" xfId="0" applyFill="1" applyBorder="1" applyAlignment="1">
      <alignment horizontal="center"/>
    </xf>
    <xf numFmtId="168" fontId="0" fillId="0" borderId="0" xfId="2" applyNumberFormat="1" applyFont="1" applyFill="1" applyBorder="1"/>
    <xf numFmtId="0" fontId="0" fillId="0" borderId="1" xfId="1" applyNumberFormat="1" applyFont="1" applyFill="1" applyBorder="1"/>
    <xf numFmtId="0" fontId="0" fillId="0" borderId="1" xfId="0" applyBorder="1" applyAlignment="1">
      <alignment horizontal="right"/>
    </xf>
    <xf numFmtId="0" fontId="0" fillId="0" borderId="22" xfId="0" applyBorder="1"/>
    <xf numFmtId="9" fontId="0" fillId="0" borderId="21" xfId="0" applyNumberFormat="1" applyBorder="1"/>
    <xf numFmtId="9" fontId="0" fillId="0" borderId="36" xfId="0" applyNumberFormat="1" applyBorder="1"/>
    <xf numFmtId="0" fontId="0" fillId="2" borderId="37" xfId="0" applyFill="1" applyBorder="1"/>
    <xf numFmtId="0" fontId="0" fillId="2" borderId="38" xfId="0" applyFill="1" applyBorder="1" applyAlignment="1">
      <alignment horizontal="center"/>
    </xf>
    <xf numFmtId="164" fontId="0" fillId="0" borderId="37" xfId="1" applyFont="1" applyFill="1" applyBorder="1"/>
    <xf numFmtId="0" fontId="0" fillId="0" borderId="37" xfId="0" applyBorder="1"/>
    <xf numFmtId="0" fontId="0" fillId="0" borderId="38" xfId="0" applyBorder="1" applyAlignment="1">
      <alignment horizontal="right"/>
    </xf>
    <xf numFmtId="167" fontId="0" fillId="0" borderId="23" xfId="0" applyNumberFormat="1" applyBorder="1"/>
    <xf numFmtId="167" fontId="0" fillId="0" borderId="24" xfId="0" applyNumberFormat="1" applyBorder="1"/>
    <xf numFmtId="0" fontId="0" fillId="0" borderId="18" xfId="0" applyBorder="1"/>
    <xf numFmtId="0" fontId="0" fillId="0" borderId="40" xfId="0" applyBorder="1"/>
    <xf numFmtId="49" fontId="5" fillId="0" borderId="1" xfId="0" applyNumberFormat="1" applyFont="1" applyBorder="1" applyAlignment="1">
      <alignment horizontal="justify" vertical="center"/>
    </xf>
    <xf numFmtId="168" fontId="0" fillId="0" borderId="1" xfId="2" applyNumberFormat="1" applyFont="1" applyBorder="1"/>
    <xf numFmtId="168" fontId="0" fillId="0" borderId="38" xfId="2" applyNumberFormat="1" applyFont="1" applyBorder="1"/>
    <xf numFmtId="168" fontId="0" fillId="0" borderId="24" xfId="2" applyNumberFormat="1" applyFont="1" applyBorder="1"/>
    <xf numFmtId="49" fontId="5" fillId="0" borderId="17" xfId="0" applyNumberFormat="1" applyFont="1" applyBorder="1" applyAlignment="1">
      <alignment horizontal="justify" vertical="center"/>
    </xf>
    <xf numFmtId="168" fontId="0" fillId="0" borderId="17" xfId="2" applyNumberFormat="1" applyFont="1" applyBorder="1"/>
    <xf numFmtId="168" fontId="0" fillId="0" borderId="34" xfId="2" applyNumberFormat="1" applyFont="1" applyBorder="1"/>
    <xf numFmtId="0" fontId="0" fillId="2" borderId="3" xfId="0" applyFill="1" applyBorder="1" applyAlignment="1">
      <alignment wrapText="1"/>
    </xf>
    <xf numFmtId="0" fontId="5" fillId="2" borderId="4" xfId="0" applyFont="1" applyFill="1" applyBorder="1" applyAlignment="1">
      <alignment horizontal="justify" vertical="center" wrapText="1"/>
    </xf>
    <xf numFmtId="168" fontId="0" fillId="2" borderId="24" xfId="2" applyNumberFormat="1" applyFont="1" applyFill="1" applyBorder="1"/>
    <xf numFmtId="168" fontId="0" fillId="0" borderId="0" xfId="0" applyNumberFormat="1"/>
    <xf numFmtId="0" fontId="0" fillId="2" borderId="36" xfId="0" applyFill="1" applyBorder="1"/>
    <xf numFmtId="164" fontId="0" fillId="0" borderId="38" xfId="1" applyFont="1" applyBorder="1"/>
    <xf numFmtId="164" fontId="0" fillId="0" borderId="23" xfId="1" applyFont="1" applyBorder="1"/>
    <xf numFmtId="164" fontId="0" fillId="0" borderId="24" xfId="1" applyFont="1" applyBorder="1"/>
    <xf numFmtId="168" fontId="0" fillId="2" borderId="21" xfId="2" applyNumberFormat="1" applyFont="1" applyFill="1" applyBorder="1"/>
    <xf numFmtId="168" fontId="0" fillId="2" borderId="36" xfId="2" applyNumberFormat="1" applyFont="1" applyFill="1" applyBorder="1"/>
    <xf numFmtId="168" fontId="0" fillId="0" borderId="23" xfId="2" applyNumberFormat="1" applyFont="1" applyBorder="1"/>
    <xf numFmtId="168" fontId="0" fillId="0" borderId="16" xfId="2" applyNumberFormat="1" applyFont="1" applyFill="1" applyBorder="1"/>
    <xf numFmtId="168" fontId="0" fillId="2" borderId="24" xfId="0" applyNumberFormat="1" applyFill="1" applyBorder="1"/>
    <xf numFmtId="167" fontId="0" fillId="0" borderId="0" xfId="1" applyNumberFormat="1" applyFont="1" applyBorder="1"/>
    <xf numFmtId="0" fontId="0" fillId="0" borderId="42" xfId="0" applyBorder="1"/>
    <xf numFmtId="164" fontId="0" fillId="2" borderId="1" xfId="0" applyNumberFormat="1" applyFill="1" applyBorder="1"/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3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8" fontId="0" fillId="0" borderId="1" xfId="2" applyNumberFormat="1" applyFont="1" applyBorder="1" applyAlignment="1">
      <alignment horizontal="center" vertical="center"/>
    </xf>
    <xf numFmtId="168" fontId="0" fillId="0" borderId="38" xfId="2" applyNumberFormat="1" applyFont="1" applyBorder="1" applyAlignment="1">
      <alignment horizontal="center" vertical="center"/>
    </xf>
    <xf numFmtId="168" fontId="0" fillId="2" borderId="39" xfId="2" applyNumberFormat="1" applyFont="1" applyFill="1" applyBorder="1" applyAlignment="1">
      <alignment horizontal="center"/>
    </xf>
    <xf numFmtId="168" fontId="0" fillId="2" borderId="23" xfId="2" applyNumberFormat="1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8" fontId="0" fillId="2" borderId="22" xfId="2" applyNumberFormat="1" applyFont="1" applyFill="1" applyBorder="1" applyAlignment="1">
      <alignment horizontal="center"/>
    </xf>
    <xf numFmtId="168" fontId="0" fillId="2" borderId="21" xfId="2" applyNumberFormat="1" applyFont="1" applyFill="1" applyBorder="1" applyAlignment="1">
      <alignment horizontal="center"/>
    </xf>
    <xf numFmtId="168" fontId="0" fillId="0" borderId="37" xfId="2" applyNumberFormat="1" applyFont="1" applyBorder="1" applyAlignment="1">
      <alignment horizontal="center"/>
    </xf>
    <xf numFmtId="168" fontId="0" fillId="0" borderId="1" xfId="2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[1]Hoja1!$B$2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6D-4451-B33B-FC6B13C669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6D-4451-B33B-FC6B13C669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6D-4451-B33B-FC6B13C669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6D-4451-B33B-FC6B13C669E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[1]Hoja1!$A$3:$A$6</c:f>
              <c:strCache>
                <c:ptCount val="4"/>
                <c:pt idx="0">
                  <c:v>A.    Pymes </c:v>
                </c:pt>
                <c:pt idx="1">
                  <c:v>B.     Pequeña empresa </c:v>
                </c:pt>
                <c:pt idx="2">
                  <c:v>C.     Mediana empresa </c:v>
                </c:pt>
                <c:pt idx="3">
                  <c:v>D.    grande empresa</c:v>
                </c:pt>
              </c:strCache>
            </c:strRef>
          </c:cat>
          <c:val>
            <c:numRef>
              <c:f>[1]Hoja1!$B$3:$B$6</c:f>
              <c:numCache>
                <c:formatCode>General</c:formatCode>
                <c:ptCount val="4"/>
                <c:pt idx="0">
                  <c:v>48</c:v>
                </c:pt>
                <c:pt idx="1">
                  <c:v>30</c:v>
                </c:pt>
                <c:pt idx="2">
                  <c:v>7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6D-4451-B33B-FC6B13C669E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PREGUNTA</a:t>
            </a:r>
            <a:r>
              <a:rPr lang="es-CO" baseline="0"/>
              <a:t> 2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681-4947-8536-BFE846F3D9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681-4947-8536-BFE846F3D9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681-4947-8536-BFE846F3D9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681-4947-8536-BFE846F3D9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681-4947-8536-BFE846F3D9E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681-4947-8536-BFE846F3D9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681-4947-8536-BFE846F3D9E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681-4947-8536-BFE846F3D9E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681-4947-8536-BFE846F3D9E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681-4947-8536-BFE846F3D9E1}"/>
              </c:ext>
            </c:extLst>
          </c:dPt>
          <c:dLbls>
            <c:dLbl>
              <c:idx val="0"/>
              <c:layout>
                <c:manualLayout>
                  <c:x val="-1.0780402449693789E-2"/>
                  <c:y val="-2.58151064450277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81-4947-8536-BFE846F3D9E1}"/>
                </c:ext>
              </c:extLst>
            </c:dLbl>
            <c:dLbl>
              <c:idx val="1"/>
              <c:layout>
                <c:manualLayout>
                  <c:x val="-4.3256342957130357E-2"/>
                  <c:y val="9.7301326917468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81-4947-8536-BFE846F3D9E1}"/>
                </c:ext>
              </c:extLst>
            </c:dLbl>
            <c:dLbl>
              <c:idx val="2"/>
              <c:layout>
                <c:manualLayout>
                  <c:x val="-6.727340332458448E-2"/>
                  <c:y val="-5.791848935549727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81-4947-8536-BFE846F3D9E1}"/>
                </c:ext>
              </c:extLst>
            </c:dLbl>
            <c:dLbl>
              <c:idx val="3"/>
              <c:layout>
                <c:manualLayout>
                  <c:x val="-1.2777559055118111E-2"/>
                  <c:y val="-6.940799066783320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81-4947-8536-BFE846F3D9E1}"/>
                </c:ext>
              </c:extLst>
            </c:dLbl>
            <c:dLbl>
              <c:idx val="4"/>
              <c:layout>
                <c:manualLayout>
                  <c:x val="5.8382108486439092E-2"/>
                  <c:y val="-7.63054097404491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81-4947-8536-BFE846F3D9E1}"/>
                </c:ext>
              </c:extLst>
            </c:dLbl>
            <c:dLbl>
              <c:idx val="5"/>
              <c:layout>
                <c:manualLayout>
                  <c:x val="2.7661854768153981E-2"/>
                  <c:y val="-2.865084572761738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81-4947-8536-BFE846F3D9E1}"/>
                </c:ext>
              </c:extLst>
            </c:dLbl>
            <c:dLbl>
              <c:idx val="6"/>
              <c:layout>
                <c:manualLayout>
                  <c:x val="-2.4496937882764653E-5"/>
                  <c:y val="4.178331875182226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81-4947-8536-BFE846F3D9E1}"/>
                </c:ext>
              </c:extLst>
            </c:dLbl>
            <c:dLbl>
              <c:idx val="7"/>
              <c:layout>
                <c:manualLayout>
                  <c:x val="-6.2439851268591424E-2"/>
                  <c:y val="3.467155147273257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81-4947-8536-BFE846F3D9E1}"/>
                </c:ext>
              </c:extLst>
            </c:dLbl>
            <c:dLbl>
              <c:idx val="9"/>
              <c:layout>
                <c:manualLayout>
                  <c:x val="-7.7290463692038527E-2"/>
                  <c:y val="1.5149095946340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81-4947-8536-BFE846F3D9E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[1]Hoja1!$A$9:$A$18</c:f>
              <c:strCache>
                <c:ptCount val="10"/>
                <c:pt idx="0">
                  <c:v>A.    Servicios de consultoría </c:v>
                </c:pt>
                <c:pt idx="1">
                  <c:v>B.     Educación </c:v>
                </c:pt>
                <c:pt idx="2">
                  <c:v>C.     Entretenimiento </c:v>
                </c:pt>
                <c:pt idx="3">
                  <c:v>D.    Servicios de gobierno </c:v>
                </c:pt>
                <c:pt idx="4">
                  <c:v>E.     Tecnología de información </c:v>
                </c:pt>
                <c:pt idx="5">
                  <c:v>F.      Sin fines de lucro </c:v>
                </c:pt>
                <c:pt idx="6">
                  <c:v>G.    Farmacéuticos </c:v>
                </c:pt>
                <c:pt idx="7">
                  <c:v>H.    Servicios técnicos </c:v>
                </c:pt>
                <c:pt idx="8">
                  <c:v>I.        Alimentos </c:v>
                </c:pt>
                <c:pt idx="9">
                  <c:v>J.       Otro _________</c:v>
                </c:pt>
              </c:strCache>
            </c:strRef>
          </c:cat>
          <c:val>
            <c:numRef>
              <c:f>[1]Hoja1!$B$9:$B$18</c:f>
              <c:numCache>
                <c:formatCode>General</c:formatCode>
                <c:ptCount val="10"/>
                <c:pt idx="0">
                  <c:v>3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73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681-4947-8536-BFE846F3D9E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PREGUNTA</a:t>
            </a:r>
            <a:r>
              <a:rPr lang="es-CO" baseline="0"/>
              <a:t> 3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82F-466C-9D7B-79FFFE08DF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82F-466C-9D7B-79FFFE08DF1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[1]Hoja1!$A$21:$A$22</c:f>
              <c:strCache>
                <c:ptCount val="2"/>
                <c:pt idx="0">
                  <c:v>A.    Cuenta con personal calificado al interior de su compañía </c:v>
                </c:pt>
                <c:pt idx="1">
                  <c:v>B.     Contrata a terceros.</c:v>
                </c:pt>
              </c:strCache>
            </c:strRef>
          </c:cat>
          <c:val>
            <c:numRef>
              <c:f>[1]Hoja1!$B$21:$B$22</c:f>
              <c:numCache>
                <c:formatCode>General</c:formatCode>
                <c:ptCount val="2"/>
                <c:pt idx="0">
                  <c:v>22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2F-466C-9D7B-79FFFE08DF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PREGUNTA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5F-4E45-9829-E25FC84A5B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5F-4E45-9829-E25FC84A5B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5F-4E45-9829-E25FC84A5B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5F-4E45-9829-E25FC84A5B4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[1]Hoja1!$A$25:$A$28</c:f>
              <c:strCache>
                <c:ptCount val="4"/>
                <c:pt idx="0">
                  <c:v>A.    CADA 6 MESES </c:v>
                </c:pt>
                <c:pt idx="1">
                  <c:v>B.     CADA AÑO </c:v>
                </c:pt>
                <c:pt idx="2">
                  <c:v>C.     CADA 2 AÑOS </c:v>
                </c:pt>
                <c:pt idx="3">
                  <c:v>D.    SOLO CUADO TIENE UN PROBLEMA CON EL SISTEMA </c:v>
                </c:pt>
              </c:strCache>
            </c:strRef>
          </c:cat>
          <c:val>
            <c:numRef>
              <c:f>[1]Hoja1!$B$25:$B$28</c:f>
              <c:numCache>
                <c:formatCode>General</c:formatCode>
                <c:ptCount val="4"/>
                <c:pt idx="0">
                  <c:v>23</c:v>
                </c:pt>
                <c:pt idx="1">
                  <c:v>7</c:v>
                </c:pt>
                <c:pt idx="2">
                  <c:v>30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5F-4E45-9829-E25FC84A5B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PREGUNTA</a:t>
            </a:r>
            <a:r>
              <a:rPr lang="es-CO" baseline="0"/>
              <a:t>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E87-4365-B85E-44E568339F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E87-4365-B85E-44E568339F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87-4365-B85E-44E568339FD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[1]Hoja1!$A$31:$A$33</c:f>
              <c:strCache>
                <c:ptCount val="3"/>
                <c:pt idx="0">
                  <c:v>A.    Si </c:v>
                </c:pt>
                <c:pt idx="1">
                  <c:v>B.     No </c:v>
                </c:pt>
                <c:pt idx="2">
                  <c:v>C.     Quizás </c:v>
                </c:pt>
              </c:strCache>
            </c:strRef>
          </c:cat>
          <c:val>
            <c:numRef>
              <c:f>[1]Hoja1!$B$31:$B$33</c:f>
              <c:numCache>
                <c:formatCode>General</c:formatCode>
                <c:ptCount val="3"/>
                <c:pt idx="0">
                  <c:v>70</c:v>
                </c:pt>
                <c:pt idx="1">
                  <c:v>20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87-4365-B85E-44E568339F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PREGUNTA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7B-422A-B1E1-1260793891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7B-422A-B1E1-1260793891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7B-422A-B1E1-1260793891B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[1]Hoja1!$A$36:$A$38</c:f>
              <c:strCache>
                <c:ptCount val="3"/>
                <c:pt idx="0">
                  <c:v>A.    Si</c:v>
                </c:pt>
                <c:pt idx="1">
                  <c:v>B.     No</c:v>
                </c:pt>
                <c:pt idx="2">
                  <c:v>C.     No sabe /no responde</c:v>
                </c:pt>
              </c:strCache>
            </c:strRef>
          </c:cat>
          <c:val>
            <c:numRef>
              <c:f>[1]Hoja1!$B$36:$B$38</c:f>
              <c:numCache>
                <c:formatCode>General</c:formatCode>
                <c:ptCount val="3"/>
                <c:pt idx="0">
                  <c:v>28</c:v>
                </c:pt>
                <c:pt idx="1">
                  <c:v>62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7B-422A-B1E1-1260793891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PREGUNTA 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8F-4D5F-BB40-3DF7298BE4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8F-4D5F-BB40-3DF7298BE4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78F-4D5F-BB40-3DF7298BE45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[1]Hoja1!$A$41:$A$43</c:f>
              <c:strCache>
                <c:ptCount val="3"/>
                <c:pt idx="0">
                  <c:v>A.    Calidad</c:v>
                </c:pt>
                <c:pt idx="1">
                  <c:v>B.     Rapidez</c:v>
                </c:pt>
                <c:pt idx="2">
                  <c:v>C.     Las dos </c:v>
                </c:pt>
              </c:strCache>
            </c:strRef>
          </c:cat>
          <c:val>
            <c:numRef>
              <c:f>[1]Hoja1!$B$41:$B$43</c:f>
              <c:numCache>
                <c:formatCode>General</c:formatCode>
                <c:ptCount val="3"/>
                <c:pt idx="0">
                  <c:v>15</c:v>
                </c:pt>
                <c:pt idx="1">
                  <c:v>18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8F-4D5F-BB40-3DF7298BE45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567006</xdr:colOff>
      <xdr:row>0</xdr:row>
      <xdr:rowOff>57150</xdr:rowOff>
    </xdr:from>
    <xdr:to>
      <xdr:col>9</xdr:col>
      <xdr:colOff>556223</xdr:colOff>
      <xdr:row>13</xdr:row>
      <xdr:rowOff>32708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207F83-6DF8-4607-A9AB-39B34351E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549035</xdr:colOff>
      <xdr:row>13</xdr:row>
      <xdr:rowOff>155994</xdr:rowOff>
    </xdr:from>
    <xdr:to>
      <xdr:col>9</xdr:col>
      <xdr:colOff>538252</xdr:colOff>
      <xdr:row>27</xdr:row>
      <xdr:rowOff>131553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39C526-1F9D-4CF4-90CC-D0A0C31B9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499613</xdr:colOff>
      <xdr:row>28</xdr:row>
      <xdr:rowOff>102079</xdr:rowOff>
    </xdr:from>
    <xdr:to>
      <xdr:col>9</xdr:col>
      <xdr:colOff>488830</xdr:colOff>
      <xdr:row>39</xdr:row>
      <xdr:rowOff>257355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594627D-FB75-4A9B-A5AF-5DA5BE823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82926</xdr:colOff>
      <xdr:row>0</xdr:row>
      <xdr:rowOff>102335</xdr:rowOff>
    </xdr:from>
    <xdr:to>
      <xdr:col>16</xdr:col>
      <xdr:colOff>84980</xdr:colOff>
      <xdr:row>13</xdr:row>
      <xdr:rowOff>50680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E01AB70-82D6-4D25-A088-7CE7B98B3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54173</xdr:colOff>
      <xdr:row>29</xdr:row>
      <xdr:rowOff>20949</xdr:rowOff>
    </xdr:from>
    <xdr:to>
      <xdr:col>16</xdr:col>
      <xdr:colOff>56227</xdr:colOff>
      <xdr:row>39</xdr:row>
      <xdr:rowOff>348497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D9BBF3-5451-422A-AF00-22C8A619E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28498</xdr:colOff>
      <xdr:row>14</xdr:row>
      <xdr:rowOff>20692</xdr:rowOff>
    </xdr:from>
    <xdr:to>
      <xdr:col>16</xdr:col>
      <xdr:colOff>30552</xdr:colOff>
      <xdr:row>28</xdr:row>
      <xdr:rowOff>32708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67B7BFC-9557-46A5-8C7E-CD1887C50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336842</xdr:colOff>
      <xdr:row>41</xdr:row>
      <xdr:rowOff>111066</xdr:rowOff>
    </xdr:from>
    <xdr:to>
      <xdr:col>12</xdr:col>
      <xdr:colOff>335301</xdr:colOff>
      <xdr:row>55</xdr:row>
      <xdr:rowOff>141053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693BADE-F7EC-4821-A7FB-B586A45FB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0.17079</cdr:x>
      <cdr:y>0.0283</cdr:y>
    </cdr:from>
    <cdr:to>
      <cdr:x>0.90979</cdr:x>
      <cdr:y>0.12002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6C8787C-606C-48D1-9866-7BBE9EF0E54B}"/>
            </a:ext>
          </a:extLst>
        </cdr:cNvPr>
        <cdr:cNvSpPr txBox="1"/>
      </cdr:nvSpPr>
      <cdr:spPr>
        <a:xfrm xmlns:a="http://schemas.openxmlformats.org/drawingml/2006/main">
          <a:off x="780872" y="77638"/>
          <a:ext cx="3378679" cy="251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 rtl="0">
            <a:defRPr sz="18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defRPr>
          </a:pPr>
          <a:r>
            <a:rPr lang="es-CO" sz="18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rPr>
            <a:t>1)      Tipo de compañía </a:t>
          </a:r>
        </a:p>
        <a:p xmlns:a="http://schemas.openxmlformats.org/drawingml/2006/main">
          <a:pPr algn="ctr" rtl="0">
            <a:defRPr sz="18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defRPr>
          </a:pPr>
          <a:endParaRPr lang="es-CO" sz="1800" b="1" i="0" u="none" strike="noStrike" kern="1200" baseline="0">
            <a:solidFill>
              <a:sysClr val="windowText" lastClr="000000">
                <a:lumMod val="75000"/>
                <a:lumOff val="25000"/>
              </a:sysClr>
            </a:solidFill>
            <a:latin typeface="+mn-lt"/>
            <a:ea typeface="+mn-ea"/>
            <a:cs typeface="+mn-cs"/>
          </a:endParaRPr>
        </a:p>
        <a:p xmlns:a="http://schemas.openxmlformats.org/drawingml/2006/main">
          <a:endParaRPr lang="es-CO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kelyn\Documents\ENCUESTA%20W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">
          <cell r="A3" t="str">
            <v xml:space="preserve">A.    Pymes </v>
          </cell>
          <cell r="B3">
            <v>48</v>
          </cell>
        </row>
        <row r="4">
          <cell r="A4" t="str">
            <v xml:space="preserve">B.     Pequeña empresa </v>
          </cell>
          <cell r="B4">
            <v>30</v>
          </cell>
        </row>
        <row r="5">
          <cell r="A5" t="str">
            <v xml:space="preserve">C.     Mediana empresa </v>
          </cell>
          <cell r="B5">
            <v>7</v>
          </cell>
        </row>
        <row r="6">
          <cell r="A6" t="str">
            <v>D.    grande empresa</v>
          </cell>
          <cell r="B6">
            <v>15</v>
          </cell>
        </row>
        <row r="9">
          <cell r="A9" t="str">
            <v xml:space="preserve">A.    Servicios de consultoría </v>
          </cell>
          <cell r="B9">
            <v>3</v>
          </cell>
        </row>
        <row r="10">
          <cell r="A10" t="str">
            <v xml:space="preserve">B.     Educación </v>
          </cell>
          <cell r="B10">
            <v>5</v>
          </cell>
        </row>
        <row r="11">
          <cell r="A11" t="str">
            <v xml:space="preserve">C.     Entretenimiento </v>
          </cell>
          <cell r="B11">
            <v>1</v>
          </cell>
        </row>
        <row r="12">
          <cell r="A12" t="str">
            <v xml:space="preserve">D.    Servicios de gobierno </v>
          </cell>
          <cell r="B12">
            <v>1</v>
          </cell>
        </row>
        <row r="13">
          <cell r="A13" t="str">
            <v xml:space="preserve">E.     Tecnología de información </v>
          </cell>
          <cell r="B13">
            <v>2</v>
          </cell>
        </row>
        <row r="14">
          <cell r="A14" t="str">
            <v xml:space="preserve">F.      Sin fines de lucro </v>
          </cell>
          <cell r="B14">
            <v>3</v>
          </cell>
        </row>
        <row r="15">
          <cell r="A15" t="str">
            <v xml:space="preserve">G.    Farmacéuticos </v>
          </cell>
          <cell r="B15">
            <v>3</v>
          </cell>
        </row>
        <row r="16">
          <cell r="A16" t="str">
            <v xml:space="preserve">H.    Servicios técnicos </v>
          </cell>
          <cell r="B16">
            <v>5</v>
          </cell>
        </row>
        <row r="17">
          <cell r="A17" t="str">
            <v xml:space="preserve">I.        Alimentos </v>
          </cell>
          <cell r="B17">
            <v>73</v>
          </cell>
        </row>
        <row r="18">
          <cell r="A18" t="str">
            <v>J.       Otro _________</v>
          </cell>
          <cell r="B18">
            <v>4</v>
          </cell>
        </row>
        <row r="21">
          <cell r="A21" t="str">
            <v xml:space="preserve">A.    Cuenta con personal calificado al interior de su compañía </v>
          </cell>
          <cell r="B21">
            <v>22</v>
          </cell>
        </row>
        <row r="22">
          <cell r="A22" t="str">
            <v>B.     Contrata a terceros.</v>
          </cell>
          <cell r="B22">
            <v>78</v>
          </cell>
        </row>
        <row r="25">
          <cell r="A25" t="str">
            <v xml:space="preserve">A.    CADA 6 MESES </v>
          </cell>
          <cell r="B25">
            <v>23</v>
          </cell>
        </row>
        <row r="26">
          <cell r="A26" t="str">
            <v xml:space="preserve">B.     CADA AÑO </v>
          </cell>
          <cell r="B26">
            <v>7</v>
          </cell>
        </row>
        <row r="27">
          <cell r="A27" t="str">
            <v xml:space="preserve">C.     CADA 2 AÑOS </v>
          </cell>
          <cell r="B27">
            <v>30</v>
          </cell>
        </row>
        <row r="28">
          <cell r="A28" t="str">
            <v xml:space="preserve">D.    SOLO CUADO TIENE UN PROBLEMA CON EL SISTEMA </v>
          </cell>
          <cell r="B28">
            <v>40</v>
          </cell>
        </row>
        <row r="31">
          <cell r="A31" t="str">
            <v xml:space="preserve">A.    Si </v>
          </cell>
          <cell r="B31">
            <v>70</v>
          </cell>
        </row>
        <row r="32">
          <cell r="A32" t="str">
            <v xml:space="preserve">B.     No </v>
          </cell>
          <cell r="B32">
            <v>20</v>
          </cell>
        </row>
        <row r="33">
          <cell r="A33" t="str">
            <v xml:space="preserve">C.     Quizás </v>
          </cell>
          <cell r="B33">
            <v>10</v>
          </cell>
        </row>
        <row r="36">
          <cell r="A36" t="str">
            <v>A.    Si</v>
          </cell>
          <cell r="B36">
            <v>28</v>
          </cell>
        </row>
        <row r="37">
          <cell r="A37" t="str">
            <v>B.     No</v>
          </cell>
          <cell r="B37">
            <v>62</v>
          </cell>
        </row>
        <row r="38">
          <cell r="A38" t="str">
            <v>C.     No sabe /no responde</v>
          </cell>
          <cell r="B38">
            <v>10</v>
          </cell>
        </row>
        <row r="41">
          <cell r="A41" t="str">
            <v>A.    Calidad</v>
          </cell>
          <cell r="B41">
            <v>15</v>
          </cell>
        </row>
        <row r="42">
          <cell r="A42" t="str">
            <v>B.     Rapidez</v>
          </cell>
          <cell r="B42">
            <v>18</v>
          </cell>
        </row>
        <row r="43">
          <cell r="A43" t="str">
            <v xml:space="preserve">C.     Las dos </v>
          </cell>
          <cell r="B43">
            <v>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O69"/>
  <sheetViews>
    <sheetView showGridLines="0" tabSelected="1" zoomScaleNormal="100" workbookViewId="0">
      <selection activeCell="A72" sqref="A72:O102"/>
    </sheetView>
  </sheetViews>
  <sheetFormatPr baseColWidth="10" defaultRowHeight="15" x14ac:dyDescent="0.25"/>
  <cols>
    <col min="3" max="3" width="21.5703125" customWidth="1"/>
    <col min="4" max="4" width="15.85546875" bestFit="1" customWidth="1"/>
    <col min="5" max="6" width="15" bestFit="1" customWidth="1"/>
    <col min="7" max="9" width="13.5703125" bestFit="1" customWidth="1"/>
    <col min="10" max="10" width="21.85546875" customWidth="1"/>
    <col min="11" max="11" width="16.5703125" bestFit="1" customWidth="1"/>
    <col min="12" max="12" width="14.85546875" customWidth="1"/>
    <col min="13" max="13" width="14.7109375" customWidth="1"/>
    <col min="14" max="14" width="12.42578125" customWidth="1"/>
    <col min="15" max="15" width="13" customWidth="1"/>
  </cols>
  <sheetData>
    <row r="2" spans="3:15" x14ac:dyDescent="0.25">
      <c r="C2" s="118"/>
      <c r="D2" s="118"/>
      <c r="E2" s="118"/>
      <c r="F2" s="118"/>
      <c r="G2" s="118"/>
      <c r="H2" s="118"/>
    </row>
    <row r="3" spans="3:15" x14ac:dyDescent="0.25">
      <c r="C3" s="118"/>
      <c r="D3" s="118"/>
      <c r="E3" s="118"/>
      <c r="F3" s="118"/>
      <c r="G3" s="118"/>
      <c r="H3" s="118"/>
    </row>
    <row r="4" spans="3:15" x14ac:dyDescent="0.25">
      <c r="C4" s="118"/>
      <c r="D4" s="118"/>
      <c r="E4" s="118"/>
      <c r="F4" s="118"/>
      <c r="G4" s="118"/>
      <c r="H4" s="118"/>
    </row>
    <row r="5" spans="3:15" x14ac:dyDescent="0.25">
      <c r="C5" s="118"/>
      <c r="D5" s="118"/>
      <c r="E5" s="118"/>
      <c r="F5" s="118"/>
      <c r="G5" s="118"/>
      <c r="H5" s="118"/>
    </row>
    <row r="6" spans="3:15" x14ac:dyDescent="0.25">
      <c r="C6" s="118"/>
      <c r="D6" s="118"/>
      <c r="E6" s="118"/>
      <c r="F6" s="118"/>
      <c r="G6" s="118"/>
      <c r="H6" s="118"/>
    </row>
    <row r="7" spans="3:15" ht="15.75" thickBot="1" x14ac:dyDescent="0.3">
      <c r="C7" s="119"/>
      <c r="D7" s="120"/>
      <c r="E7" s="120"/>
      <c r="F7" s="120"/>
      <c r="G7" s="120"/>
      <c r="H7" s="121"/>
    </row>
    <row r="8" spans="3:15" ht="15.75" thickBot="1" x14ac:dyDescent="0.3">
      <c r="J8" s="78" t="s">
        <v>39</v>
      </c>
      <c r="K8" s="79">
        <v>0</v>
      </c>
      <c r="L8" s="79">
        <v>0.5</v>
      </c>
      <c r="M8" s="79">
        <v>0.5</v>
      </c>
      <c r="N8" s="79">
        <v>0.5</v>
      </c>
      <c r="O8" s="80">
        <v>0.5</v>
      </c>
    </row>
    <row r="9" spans="3:15" ht="15.75" thickBot="1" x14ac:dyDescent="0.3">
      <c r="C9" s="54"/>
      <c r="D9" s="55" t="s">
        <v>13</v>
      </c>
      <c r="E9" s="55" t="s">
        <v>14</v>
      </c>
      <c r="F9" s="55" t="s">
        <v>15</v>
      </c>
      <c r="G9" s="55" t="s">
        <v>16</v>
      </c>
      <c r="H9" s="56" t="s">
        <v>17</v>
      </c>
      <c r="J9" s="81" t="s">
        <v>33</v>
      </c>
      <c r="K9" s="74" t="s">
        <v>34</v>
      </c>
      <c r="L9" s="74" t="s">
        <v>35</v>
      </c>
      <c r="M9" s="74" t="s">
        <v>36</v>
      </c>
      <c r="N9" s="74" t="s">
        <v>16</v>
      </c>
      <c r="O9" s="82" t="s">
        <v>37</v>
      </c>
    </row>
    <row r="10" spans="3:15" x14ac:dyDescent="0.25">
      <c r="C10" s="12" t="s">
        <v>11</v>
      </c>
      <c r="D10" s="110">
        <f>K12</f>
        <v>32130000</v>
      </c>
      <c r="E10" s="11">
        <f>L12</f>
        <v>64260000</v>
      </c>
      <c r="F10" s="11">
        <f>M12</f>
        <v>96390000</v>
      </c>
      <c r="G10" s="11">
        <f>N12</f>
        <v>128520000</v>
      </c>
      <c r="H10" s="13">
        <f>O12</f>
        <v>160650000</v>
      </c>
      <c r="J10" s="83" t="s">
        <v>38</v>
      </c>
      <c r="K10" s="76">
        <v>9</v>
      </c>
      <c r="L10" s="2">
        <v>18</v>
      </c>
      <c r="M10" s="76">
        <v>27</v>
      </c>
      <c r="N10" s="2">
        <v>36</v>
      </c>
      <c r="O10" s="76">
        <v>45</v>
      </c>
    </row>
    <row r="11" spans="3:15" ht="15.75" thickBot="1" x14ac:dyDescent="0.3">
      <c r="C11" s="5" t="s">
        <v>12</v>
      </c>
      <c r="D11" s="9">
        <f>7796000+3664844</f>
        <v>11460844</v>
      </c>
      <c r="E11" s="9">
        <f t="shared" ref="E11:H11" si="0">7796000+3664844</f>
        <v>11460844</v>
      </c>
      <c r="F11" s="9">
        <f t="shared" si="0"/>
        <v>11460844</v>
      </c>
      <c r="G11" s="9">
        <f t="shared" si="0"/>
        <v>11460844</v>
      </c>
      <c r="H11" s="9">
        <f t="shared" si="0"/>
        <v>11460844</v>
      </c>
      <c r="J11" s="84" t="s">
        <v>47</v>
      </c>
      <c r="K11" s="77">
        <v>2</v>
      </c>
      <c r="L11" s="77">
        <v>3</v>
      </c>
      <c r="M11" s="77">
        <v>4</v>
      </c>
      <c r="N11" s="77">
        <v>5</v>
      </c>
      <c r="O11" s="85">
        <v>6</v>
      </c>
    </row>
    <row r="12" spans="3:15" ht="15.75" thickBot="1" x14ac:dyDescent="0.3">
      <c r="J12" s="72" t="s">
        <v>46</v>
      </c>
      <c r="K12" s="86">
        <f>K10*3570000</f>
        <v>32130000</v>
      </c>
      <c r="L12" s="86">
        <f t="shared" ref="L12:O12" si="1">L10*3570000</f>
        <v>64260000</v>
      </c>
      <c r="M12" s="86">
        <f t="shared" si="1"/>
        <v>96390000</v>
      </c>
      <c r="N12" s="86">
        <f t="shared" si="1"/>
        <v>128520000</v>
      </c>
      <c r="O12" s="87">
        <f t="shared" si="1"/>
        <v>160650000</v>
      </c>
    </row>
    <row r="13" spans="3:15" ht="15.75" thickBot="1" x14ac:dyDescent="0.3">
      <c r="C13" s="123" t="s">
        <v>18</v>
      </c>
      <c r="D13" s="124"/>
      <c r="F13" s="123" t="s">
        <v>21</v>
      </c>
      <c r="G13" s="125"/>
      <c r="H13" s="125"/>
      <c r="I13" s="124"/>
    </row>
    <row r="14" spans="3:15" x14ac:dyDescent="0.25">
      <c r="C14" s="12"/>
      <c r="D14" s="14"/>
      <c r="F14" s="12"/>
      <c r="H14" s="27">
        <v>0.2</v>
      </c>
      <c r="I14" s="14"/>
    </row>
    <row r="15" spans="3:15" x14ac:dyDescent="0.25">
      <c r="C15" s="12" t="s">
        <v>71</v>
      </c>
      <c r="D15" s="13">
        <v>9820000</v>
      </c>
      <c r="F15" s="126" t="s">
        <v>96</v>
      </c>
      <c r="G15" s="118"/>
      <c r="H15" s="11">
        <f>D15*20%</f>
        <v>1964000</v>
      </c>
      <c r="I15" s="14"/>
      <c r="L15" s="47"/>
    </row>
    <row r="16" spans="3:15" x14ac:dyDescent="0.25">
      <c r="C16" s="12" t="s">
        <v>72</v>
      </c>
      <c r="D16" s="13">
        <v>7796000</v>
      </c>
      <c r="F16" s="126" t="s">
        <v>72</v>
      </c>
      <c r="G16" s="118"/>
      <c r="H16" s="11">
        <f t="shared" ref="H16:H17" si="2">D16*20%</f>
        <v>1559200</v>
      </c>
      <c r="I16" s="14"/>
      <c r="K16" s="52"/>
      <c r="L16" s="48"/>
    </row>
    <row r="17" spans="3:14" x14ac:dyDescent="0.25">
      <c r="C17" s="12" t="s">
        <v>94</v>
      </c>
      <c r="D17" s="13">
        <v>8400000</v>
      </c>
      <c r="F17" s="126" t="s">
        <v>97</v>
      </c>
      <c r="G17" s="118"/>
      <c r="H17" s="11">
        <f t="shared" si="2"/>
        <v>1680000</v>
      </c>
      <c r="I17" s="14"/>
      <c r="K17" s="52"/>
      <c r="M17">
        <f>26/12</f>
        <v>2.1666666666666665</v>
      </c>
      <c r="N17" s="48">
        <f>K12/24</f>
        <v>1338750</v>
      </c>
    </row>
    <row r="18" spans="3:14" x14ac:dyDescent="0.25">
      <c r="C18" s="12"/>
      <c r="D18" s="13"/>
      <c r="F18" s="126"/>
      <c r="G18" s="118"/>
      <c r="H18" s="11"/>
      <c r="I18" s="14"/>
      <c r="K18" s="52"/>
      <c r="N18" s="48">
        <f>N17*2</f>
        <v>2677500</v>
      </c>
    </row>
    <row r="19" spans="3:14" x14ac:dyDescent="0.25">
      <c r="C19" s="12"/>
      <c r="D19" s="13"/>
      <c r="F19" s="33"/>
      <c r="G19" s="32"/>
      <c r="H19" s="11"/>
      <c r="I19" s="14"/>
      <c r="K19" s="52"/>
      <c r="M19">
        <f>39/12</f>
        <v>3.25</v>
      </c>
    </row>
    <row r="20" spans="3:14" ht="15.75" thickBot="1" x14ac:dyDescent="0.3">
      <c r="C20" s="12"/>
      <c r="D20" s="13"/>
      <c r="F20" s="34" t="s">
        <v>45</v>
      </c>
      <c r="G20" s="31"/>
      <c r="H20" s="37">
        <f>SUM(H15:H19)</f>
        <v>5203200</v>
      </c>
      <c r="I20" s="7"/>
      <c r="K20" s="52"/>
      <c r="M20">
        <f>78/12</f>
        <v>6.5</v>
      </c>
    </row>
    <row r="21" spans="3:14" ht="15.75" thickBot="1" x14ac:dyDescent="0.3">
      <c r="C21" s="5"/>
      <c r="D21" s="10"/>
      <c r="K21" s="52"/>
      <c r="M21">
        <f>52/12</f>
        <v>4.333333333333333</v>
      </c>
    </row>
    <row r="22" spans="3:14" ht="15.75" thickBot="1" x14ac:dyDescent="0.3">
      <c r="C22" s="15" t="s">
        <v>19</v>
      </c>
      <c r="D22" s="16">
        <v>3952000</v>
      </c>
      <c r="K22" s="52"/>
    </row>
    <row r="23" spans="3:14" ht="15.75" thickBot="1" x14ac:dyDescent="0.3">
      <c r="C23" s="22" t="s">
        <v>24</v>
      </c>
      <c r="D23" s="23">
        <f>SUM(D15:D22)</f>
        <v>29968000</v>
      </c>
      <c r="F23" s="141" t="s">
        <v>22</v>
      </c>
      <c r="G23" s="142"/>
      <c r="H23" s="142"/>
      <c r="I23" s="143"/>
      <c r="K23" s="52"/>
    </row>
    <row r="24" spans="3:14" ht="15.75" thickBot="1" x14ac:dyDescent="0.3">
      <c r="F24" s="26">
        <v>0.3</v>
      </c>
      <c r="G24" s="6"/>
      <c r="H24" s="9">
        <f>+D22*F24</f>
        <v>1185600</v>
      </c>
      <c r="I24" s="7"/>
      <c r="K24" s="52"/>
    </row>
    <row r="25" spans="3:14" ht="15.75" thickBot="1" x14ac:dyDescent="0.3">
      <c r="C25" s="15"/>
      <c r="D25" s="17"/>
      <c r="K25" s="52"/>
    </row>
    <row r="26" spans="3:14" ht="15.75" thickBot="1" x14ac:dyDescent="0.3">
      <c r="D26" s="8"/>
      <c r="K26" s="52"/>
    </row>
    <row r="27" spans="3:14" ht="15.75" thickBot="1" x14ac:dyDescent="0.3">
      <c r="C27" s="123" t="s">
        <v>20</v>
      </c>
      <c r="D27" s="125"/>
      <c r="E27" s="55" t="s">
        <v>13</v>
      </c>
      <c r="F27" s="55" t="s">
        <v>14</v>
      </c>
      <c r="G27" s="55" t="s">
        <v>15</v>
      </c>
      <c r="H27" s="55" t="s">
        <v>16</v>
      </c>
      <c r="I27" s="56" t="s">
        <v>17</v>
      </c>
      <c r="K27" s="52"/>
    </row>
    <row r="28" spans="3:14" x14ac:dyDescent="0.25">
      <c r="C28" s="127" t="s">
        <v>70</v>
      </c>
      <c r="D28" s="128"/>
      <c r="E28" s="19">
        <v>1964000</v>
      </c>
      <c r="F28" s="19">
        <v>1964000</v>
      </c>
      <c r="G28" s="19">
        <v>1964000</v>
      </c>
      <c r="H28" s="19">
        <v>1964000</v>
      </c>
      <c r="I28" s="102">
        <v>1964000</v>
      </c>
      <c r="K28" s="52"/>
    </row>
    <row r="29" spans="3:14" x14ac:dyDescent="0.25">
      <c r="C29" s="126" t="s">
        <v>95</v>
      </c>
      <c r="D29" s="118"/>
      <c r="E29" s="11">
        <v>1680000</v>
      </c>
      <c r="F29" s="11">
        <v>1680000</v>
      </c>
      <c r="G29" s="11">
        <v>1680000</v>
      </c>
      <c r="H29" s="11">
        <v>1680000</v>
      </c>
      <c r="I29" s="13">
        <v>1680000</v>
      </c>
      <c r="K29" s="52"/>
    </row>
    <row r="30" spans="3:14" x14ac:dyDescent="0.25">
      <c r="C30" s="126"/>
      <c r="D30" s="118"/>
      <c r="E30" s="11"/>
      <c r="F30" s="11"/>
      <c r="G30" s="11"/>
      <c r="H30" s="11"/>
      <c r="I30" s="13"/>
      <c r="K30" s="52"/>
    </row>
    <row r="31" spans="3:14" x14ac:dyDescent="0.25">
      <c r="C31" s="33"/>
      <c r="D31" s="32"/>
      <c r="E31" s="11"/>
      <c r="F31" s="11"/>
      <c r="G31" s="11"/>
      <c r="H31" s="11"/>
      <c r="I31" s="13"/>
      <c r="K31" s="52"/>
    </row>
    <row r="32" spans="3:14" ht="15.75" thickBot="1" x14ac:dyDescent="0.3">
      <c r="C32" s="139"/>
      <c r="D32" s="140"/>
      <c r="E32" s="9"/>
      <c r="F32" s="9"/>
      <c r="G32" s="9"/>
      <c r="H32" s="9"/>
      <c r="I32" s="10"/>
      <c r="K32" s="53"/>
    </row>
    <row r="33" spans="2:10" x14ac:dyDescent="0.25">
      <c r="C33" t="s">
        <v>45</v>
      </c>
      <c r="E33" s="11">
        <f>SUM(E28:E32)</f>
        <v>3644000</v>
      </c>
      <c r="F33" s="11">
        <f t="shared" ref="F33:I33" si="3">SUM(F28:F32)</f>
        <v>3644000</v>
      </c>
      <c r="G33" s="11">
        <f t="shared" si="3"/>
        <v>3644000</v>
      </c>
      <c r="H33" s="11">
        <f t="shared" si="3"/>
        <v>3644000</v>
      </c>
      <c r="I33" s="11">
        <f t="shared" si="3"/>
        <v>3644000</v>
      </c>
    </row>
    <row r="34" spans="2:10" ht="15.75" thickBot="1" x14ac:dyDescent="0.3">
      <c r="E34" s="11"/>
      <c r="F34" s="11"/>
      <c r="G34" s="11"/>
      <c r="H34" s="11"/>
      <c r="I34" s="11"/>
    </row>
    <row r="35" spans="2:10" x14ac:dyDescent="0.25">
      <c r="C35" s="46"/>
      <c r="D35" s="89"/>
      <c r="E35" s="28" t="s">
        <v>13</v>
      </c>
      <c r="F35" s="28" t="s">
        <v>14</v>
      </c>
      <c r="G35" s="28" t="s">
        <v>15</v>
      </c>
      <c r="H35" s="28" t="s">
        <v>16</v>
      </c>
      <c r="I35" s="29" t="s">
        <v>17</v>
      </c>
    </row>
    <row r="36" spans="2:10" ht="15.75" thickBot="1" x14ac:dyDescent="0.3">
      <c r="C36" s="122" t="s">
        <v>3</v>
      </c>
      <c r="D36" s="122"/>
      <c r="E36" s="9">
        <f>D10*70%</f>
        <v>22491000</v>
      </c>
      <c r="F36" s="9">
        <f t="shared" ref="F36:I36" si="4">E10*70%</f>
        <v>44982000</v>
      </c>
      <c r="G36" s="9">
        <f t="shared" si="4"/>
        <v>67473000</v>
      </c>
      <c r="H36" s="9">
        <f t="shared" si="4"/>
        <v>89964000</v>
      </c>
      <c r="I36" s="9">
        <f t="shared" si="4"/>
        <v>112455000</v>
      </c>
    </row>
    <row r="38" spans="2:10" x14ac:dyDescent="0.25">
      <c r="B38" s="49"/>
      <c r="C38" s="131" t="s">
        <v>0</v>
      </c>
      <c r="D38" s="132"/>
      <c r="E38" s="30" t="s">
        <v>25</v>
      </c>
      <c r="F38" s="30" t="s">
        <v>13</v>
      </c>
      <c r="G38" s="30" t="s">
        <v>14</v>
      </c>
      <c r="H38" s="30" t="s">
        <v>15</v>
      </c>
      <c r="I38" s="30" t="s">
        <v>16</v>
      </c>
      <c r="J38" s="30" t="s">
        <v>17</v>
      </c>
    </row>
    <row r="39" spans="2:10" x14ac:dyDescent="0.25">
      <c r="B39" s="1" t="s">
        <v>2</v>
      </c>
      <c r="C39" s="137" t="s">
        <v>1</v>
      </c>
      <c r="D39" s="138"/>
      <c r="E39" s="50"/>
      <c r="F39" s="51">
        <f>+D10</f>
        <v>32130000</v>
      </c>
      <c r="G39" s="51">
        <f>+E10</f>
        <v>64260000</v>
      </c>
      <c r="H39" s="51">
        <f>+F10</f>
        <v>96390000</v>
      </c>
      <c r="I39" s="51">
        <f>+G10</f>
        <v>128520000</v>
      </c>
      <c r="J39" s="51">
        <f>+H10</f>
        <v>160650000</v>
      </c>
    </row>
    <row r="40" spans="2:10" x14ac:dyDescent="0.25">
      <c r="B40" s="1" t="s">
        <v>4</v>
      </c>
      <c r="C40" s="133" t="s">
        <v>3</v>
      </c>
      <c r="D40" s="134"/>
      <c r="E40" s="2"/>
      <c r="F40" s="19">
        <f>+E36</f>
        <v>22491000</v>
      </c>
      <c r="G40" s="19">
        <f>+F36</f>
        <v>44982000</v>
      </c>
      <c r="H40" s="19">
        <f>+G36</f>
        <v>67473000</v>
      </c>
      <c r="I40" s="19">
        <f>+H36</f>
        <v>89964000</v>
      </c>
      <c r="J40" s="19">
        <f>+I36</f>
        <v>112455000</v>
      </c>
    </row>
    <row r="41" spans="2:10" x14ac:dyDescent="0.25">
      <c r="B41" s="1" t="s">
        <v>4</v>
      </c>
      <c r="C41" s="133" t="s">
        <v>5</v>
      </c>
      <c r="D41" s="134"/>
      <c r="E41" s="2"/>
      <c r="F41" s="19">
        <f>+D11</f>
        <v>11460844</v>
      </c>
      <c r="G41" s="19">
        <f>+E11</f>
        <v>11460844</v>
      </c>
      <c r="H41" s="19">
        <f>+F11</f>
        <v>11460844</v>
      </c>
      <c r="I41" s="19">
        <f>+G11</f>
        <v>11460844</v>
      </c>
      <c r="J41" s="19">
        <f>+H11</f>
        <v>11460844</v>
      </c>
    </row>
    <row r="42" spans="2:10" x14ac:dyDescent="0.25">
      <c r="B42" s="1" t="s">
        <v>4</v>
      </c>
      <c r="C42" s="133" t="s">
        <v>6</v>
      </c>
      <c r="D42" s="134"/>
      <c r="E42" s="2"/>
      <c r="F42" s="19">
        <f>+E33</f>
        <v>3644000</v>
      </c>
      <c r="G42" s="19">
        <f>+F33</f>
        <v>3644000</v>
      </c>
      <c r="H42" s="19">
        <f>+G33</f>
        <v>3644000</v>
      </c>
      <c r="I42" s="19">
        <f>+H33</f>
        <v>3644000</v>
      </c>
      <c r="J42" s="19">
        <f>+I33</f>
        <v>3644000</v>
      </c>
    </row>
    <row r="43" spans="2:10" x14ac:dyDescent="0.25">
      <c r="B43" s="1" t="s">
        <v>7</v>
      </c>
      <c r="C43" s="133" t="s">
        <v>28</v>
      </c>
      <c r="D43" s="134"/>
      <c r="E43" s="19">
        <f>+E39-E40-E41-E42</f>
        <v>0</v>
      </c>
      <c r="F43" s="19">
        <f>+F39-F40-F41-F42</f>
        <v>-5465844</v>
      </c>
      <c r="G43" s="19">
        <f t="shared" ref="G43:I43" si="5">+G39-G40-G41-G42</f>
        <v>4173156</v>
      </c>
      <c r="H43" s="19">
        <f t="shared" si="5"/>
        <v>13812156</v>
      </c>
      <c r="I43" s="19">
        <f t="shared" si="5"/>
        <v>23451156</v>
      </c>
      <c r="J43" s="19">
        <f>+J39-J40-J41-J42</f>
        <v>33090156</v>
      </c>
    </row>
    <row r="44" spans="2:10" x14ac:dyDescent="0.25">
      <c r="B44" s="1" t="s">
        <v>4</v>
      </c>
      <c r="C44" s="133" t="s">
        <v>8</v>
      </c>
      <c r="D44" s="134"/>
      <c r="E44" s="2"/>
      <c r="F44" s="19">
        <f>+F43*34%</f>
        <v>-1858386.9600000002</v>
      </c>
      <c r="G44" s="19">
        <f t="shared" ref="G44:I44" si="6">+G43*34%</f>
        <v>1418873.04</v>
      </c>
      <c r="H44" s="19">
        <f t="shared" si="6"/>
        <v>4696133.04</v>
      </c>
      <c r="I44" s="19">
        <f t="shared" si="6"/>
        <v>7973393.040000001</v>
      </c>
      <c r="J44" s="19">
        <f>+J43*34%</f>
        <v>11250653.040000001</v>
      </c>
    </row>
    <row r="45" spans="2:10" x14ac:dyDescent="0.25">
      <c r="B45" s="1" t="s">
        <v>7</v>
      </c>
      <c r="C45" s="133" t="s">
        <v>27</v>
      </c>
      <c r="D45" s="134"/>
      <c r="E45" s="19">
        <f>+E43-E44</f>
        <v>0</v>
      </c>
      <c r="F45" s="19">
        <f>+F43-F44</f>
        <v>-3607457.04</v>
      </c>
      <c r="G45" s="19">
        <f t="shared" ref="G45:I45" si="7">+G43-G44</f>
        <v>2754282.96</v>
      </c>
      <c r="H45" s="19">
        <f t="shared" si="7"/>
        <v>9116022.9600000009</v>
      </c>
      <c r="I45" s="19">
        <f t="shared" si="7"/>
        <v>15477762.959999999</v>
      </c>
      <c r="J45" s="19">
        <f>+J43-J44</f>
        <v>21839502.960000001</v>
      </c>
    </row>
    <row r="46" spans="2:10" x14ac:dyDescent="0.25">
      <c r="B46" s="1" t="s">
        <v>2</v>
      </c>
      <c r="C46" s="133" t="s">
        <v>6</v>
      </c>
      <c r="D46" s="134"/>
      <c r="E46" s="2"/>
      <c r="F46" s="19">
        <f>+E33</f>
        <v>3644000</v>
      </c>
      <c r="G46" s="19">
        <f>+F33</f>
        <v>3644000</v>
      </c>
      <c r="H46" s="19">
        <f>+G33</f>
        <v>3644000</v>
      </c>
      <c r="I46" s="19">
        <f>+H33</f>
        <v>3644000</v>
      </c>
      <c r="J46" s="19">
        <f>+I33</f>
        <v>3644000</v>
      </c>
    </row>
    <row r="47" spans="2:10" x14ac:dyDescent="0.25">
      <c r="B47" s="1" t="s">
        <v>4</v>
      </c>
      <c r="C47" s="133" t="s">
        <v>23</v>
      </c>
      <c r="D47" s="134"/>
      <c r="E47" s="25">
        <f>+D23</f>
        <v>29968000</v>
      </c>
      <c r="F47" s="19"/>
      <c r="G47" s="19"/>
      <c r="H47" s="19"/>
      <c r="I47" s="19"/>
      <c r="J47" s="19">
        <f>+I33</f>
        <v>3644000</v>
      </c>
    </row>
    <row r="48" spans="2:10" x14ac:dyDescent="0.25">
      <c r="B48" s="1" t="s">
        <v>2</v>
      </c>
      <c r="C48" s="133" t="s">
        <v>9</v>
      </c>
      <c r="D48" s="134"/>
      <c r="E48" s="2"/>
      <c r="F48" s="19"/>
      <c r="G48" s="19"/>
      <c r="H48" s="19"/>
      <c r="I48" s="19"/>
      <c r="J48" s="19">
        <f>+H20</f>
        <v>5203200</v>
      </c>
    </row>
    <row r="49" spans="2:11" ht="15.75" thickBot="1" x14ac:dyDescent="0.3">
      <c r="B49" s="3" t="s">
        <v>2</v>
      </c>
      <c r="C49" s="135" t="s">
        <v>26</v>
      </c>
      <c r="D49" s="136"/>
      <c r="E49" s="18"/>
      <c r="F49" s="20"/>
      <c r="G49" s="20"/>
      <c r="H49" s="20"/>
      <c r="I49" s="20"/>
      <c r="J49" s="20">
        <f>+H24</f>
        <v>1185600</v>
      </c>
      <c r="K49" s="8">
        <f>SUM(F50:J50)</f>
        <v>66544914.800000004</v>
      </c>
    </row>
    <row r="50" spans="2:11" ht="15.75" thickBot="1" x14ac:dyDescent="0.3">
      <c r="B50" s="24" t="s">
        <v>7</v>
      </c>
      <c r="C50" s="129" t="s">
        <v>10</v>
      </c>
      <c r="D50" s="130"/>
      <c r="E50" s="21">
        <f>+E46-E47+E48+E49</f>
        <v>-29968000</v>
      </c>
      <c r="F50" s="21">
        <f>+F46+F45-F47+F48+F49</f>
        <v>36542.959999999963</v>
      </c>
      <c r="G50" s="21">
        <f t="shared" ref="G50:I50" si="8">+G46+G45-G47+G48+G49</f>
        <v>6398282.96</v>
      </c>
      <c r="H50" s="21">
        <f t="shared" si="8"/>
        <v>12760022.960000001</v>
      </c>
      <c r="I50" s="21">
        <f t="shared" si="8"/>
        <v>19121762.960000001</v>
      </c>
      <c r="J50" s="21">
        <f>+J46+J45-J47+J48+J49</f>
        <v>28228302.960000001</v>
      </c>
      <c r="K50" s="8">
        <f>(K49+E50)</f>
        <v>36576914.800000004</v>
      </c>
    </row>
    <row r="51" spans="2:11" ht="15.75" thickBot="1" x14ac:dyDescent="0.3"/>
    <row r="52" spans="2:11" ht="15.75" thickBot="1" x14ac:dyDescent="0.3">
      <c r="C52" s="58" t="s">
        <v>32</v>
      </c>
      <c r="D52" s="59" t="s">
        <v>13</v>
      </c>
      <c r="E52" s="59" t="s">
        <v>14</v>
      </c>
      <c r="F52" s="59" t="s">
        <v>15</v>
      </c>
      <c r="G52" s="59" t="s">
        <v>16</v>
      </c>
      <c r="H52" s="60" t="s">
        <v>17</v>
      </c>
      <c r="I52" s="12"/>
    </row>
    <row r="53" spans="2:11" x14ac:dyDescent="0.25">
      <c r="C53" s="50" t="s">
        <v>40</v>
      </c>
      <c r="D53" s="57">
        <f>F39</f>
        <v>32130000</v>
      </c>
      <c r="E53" s="57">
        <f>G39</f>
        <v>64260000</v>
      </c>
      <c r="F53" s="57">
        <f>H39</f>
        <v>96390000</v>
      </c>
      <c r="G53" s="57">
        <f>I39</f>
        <v>128520000</v>
      </c>
      <c r="H53" s="57">
        <f>J39</f>
        <v>160650000</v>
      </c>
      <c r="I53" s="111"/>
    </row>
    <row r="54" spans="2:11" x14ac:dyDescent="0.25">
      <c r="C54" s="2" t="s">
        <v>41</v>
      </c>
      <c r="D54" s="25">
        <f>SUM(F40:F41)</f>
        <v>33951844</v>
      </c>
      <c r="E54" s="25">
        <f t="shared" ref="E54:G54" si="9">SUM(G40:G41)</f>
        <v>56442844</v>
      </c>
      <c r="F54" s="25">
        <f t="shared" si="9"/>
        <v>78933844</v>
      </c>
      <c r="G54" s="25">
        <f t="shared" si="9"/>
        <v>101424844</v>
      </c>
      <c r="H54" s="25">
        <f>SUM(J40:J41)</f>
        <v>123915844</v>
      </c>
      <c r="I54" s="111"/>
    </row>
    <row r="55" spans="2:11" x14ac:dyDescent="0.25">
      <c r="C55" s="2" t="s">
        <v>44</v>
      </c>
      <c r="D55" s="25">
        <f>(D53-D54)</f>
        <v>-1821844</v>
      </c>
      <c r="E55" s="25">
        <f t="shared" ref="E55:H55" si="10">(E53-E54)</f>
        <v>7817156</v>
      </c>
      <c r="F55" s="25">
        <f t="shared" si="10"/>
        <v>17456156</v>
      </c>
      <c r="G55" s="25">
        <f t="shared" si="10"/>
        <v>27095156</v>
      </c>
      <c r="H55" s="25">
        <f t="shared" si="10"/>
        <v>36734156</v>
      </c>
      <c r="I55" s="88"/>
    </row>
    <row r="56" spans="2:11" ht="15.75" thickBot="1" x14ac:dyDescent="0.3">
      <c r="C56" s="115" t="s">
        <v>32</v>
      </c>
      <c r="D56" s="116"/>
      <c r="E56" s="116"/>
      <c r="F56" s="116"/>
      <c r="G56" s="116"/>
      <c r="H56" s="117"/>
      <c r="I56" s="112">
        <f>NPV(0.3,D55:H55)-D23</f>
        <v>581912.20507792383</v>
      </c>
    </row>
    <row r="57" spans="2:11" ht="15.75" thickBot="1" x14ac:dyDescent="0.3">
      <c r="J57" s="4"/>
    </row>
    <row r="58" spans="2:11" x14ac:dyDescent="0.25">
      <c r="C58" s="38" t="s">
        <v>29</v>
      </c>
      <c r="D58" s="36" t="s">
        <v>25</v>
      </c>
      <c r="E58" s="36" t="s">
        <v>13</v>
      </c>
      <c r="F58" s="40" t="s">
        <v>14</v>
      </c>
      <c r="G58" s="41" t="s">
        <v>15</v>
      </c>
      <c r="H58" s="36" t="s">
        <v>16</v>
      </c>
      <c r="I58" s="39" t="s">
        <v>17</v>
      </c>
    </row>
    <row r="59" spans="2:11" ht="15.75" thickBot="1" x14ac:dyDescent="0.3">
      <c r="C59" s="5"/>
      <c r="D59" s="37">
        <f>E50</f>
        <v>-29968000</v>
      </c>
      <c r="E59" s="37">
        <f>D55</f>
        <v>-1821844</v>
      </c>
      <c r="F59" s="37">
        <f>E55</f>
        <v>7817156</v>
      </c>
      <c r="G59" s="42">
        <f>F55</f>
        <v>17456156</v>
      </c>
      <c r="H59" s="37">
        <f>G55</f>
        <v>27095156</v>
      </c>
      <c r="I59" s="43">
        <f>H55</f>
        <v>36734156</v>
      </c>
    </row>
    <row r="60" spans="2:11" ht="15.75" thickBot="1" x14ac:dyDescent="0.3">
      <c r="J60" s="44">
        <f>IRR(D59:I59)</f>
        <v>0.30643187678742634</v>
      </c>
    </row>
    <row r="61" spans="2:11" ht="30.75" thickBot="1" x14ac:dyDescent="0.3">
      <c r="C61" s="65" t="s">
        <v>30</v>
      </c>
      <c r="D61" s="66"/>
      <c r="E61" s="45"/>
      <c r="F61" s="46"/>
      <c r="G61" s="45"/>
      <c r="H61" s="45"/>
      <c r="I61" s="46"/>
    </row>
    <row r="62" spans="2:11" x14ac:dyDescent="0.25">
      <c r="C62" s="67" t="s">
        <v>40</v>
      </c>
      <c r="D62" s="68">
        <f>NPV(0.3,D53:H53)</f>
        <v>194878657.28683275</v>
      </c>
    </row>
    <row r="63" spans="2:11" x14ac:dyDescent="0.25">
      <c r="C63" s="69" t="s">
        <v>41</v>
      </c>
      <c r="D63" s="70">
        <f>NPV(0.3,D54:H54)</f>
        <v>164328745.0817548</v>
      </c>
    </row>
    <row r="64" spans="2:11" x14ac:dyDescent="0.25">
      <c r="C64" s="71" t="s">
        <v>42</v>
      </c>
      <c r="D64" s="70">
        <f>D63+D23</f>
        <v>194296745.0817548</v>
      </c>
    </row>
    <row r="65" spans="3:9" ht="15.75" thickBot="1" x14ac:dyDescent="0.3">
      <c r="C65" s="72" t="s">
        <v>43</v>
      </c>
      <c r="D65" s="73">
        <f>D62/D64</f>
        <v>1.0029949663069915</v>
      </c>
    </row>
    <row r="66" spans="3:9" ht="15.75" thickBot="1" x14ac:dyDescent="0.3">
      <c r="D66" s="35"/>
    </row>
    <row r="67" spans="3:9" ht="45.75" thickBot="1" x14ac:dyDescent="0.3">
      <c r="C67" s="61" t="s">
        <v>31</v>
      </c>
      <c r="D67" s="59" t="s">
        <v>25</v>
      </c>
      <c r="E67" s="59" t="s">
        <v>13</v>
      </c>
      <c r="F67" s="59" t="s">
        <v>14</v>
      </c>
      <c r="G67" s="59" t="s">
        <v>15</v>
      </c>
      <c r="H67" s="59" t="s">
        <v>16</v>
      </c>
      <c r="I67" s="60" t="s">
        <v>17</v>
      </c>
    </row>
    <row r="68" spans="3:9" x14ac:dyDescent="0.25">
      <c r="C68" s="62"/>
      <c r="D68" s="57">
        <f t="shared" ref="D68:H68" si="11">E50</f>
        <v>-29968000</v>
      </c>
      <c r="E68" s="57">
        <f t="shared" si="11"/>
        <v>36542.959999999963</v>
      </c>
      <c r="F68" s="57">
        <f t="shared" si="11"/>
        <v>6398282.96</v>
      </c>
      <c r="G68" s="57">
        <f t="shared" si="11"/>
        <v>12760022.960000001</v>
      </c>
      <c r="H68" s="57">
        <f t="shared" si="11"/>
        <v>19121762.960000001</v>
      </c>
      <c r="I68" s="63">
        <f>J50</f>
        <v>28228302.960000001</v>
      </c>
    </row>
    <row r="69" spans="3:9" ht="15.75" thickBot="1" x14ac:dyDescent="0.3">
      <c r="C69" s="5"/>
      <c r="D69" s="6"/>
      <c r="E69" s="37">
        <f>E68+D68</f>
        <v>-29931457.039999999</v>
      </c>
      <c r="F69" s="37">
        <f>F68+E69</f>
        <v>-23533174.079999998</v>
      </c>
      <c r="G69" s="37">
        <f>G68+F69</f>
        <v>-10773151.119999997</v>
      </c>
      <c r="H69" s="37">
        <f>H68+G69</f>
        <v>8348611.8400000036</v>
      </c>
      <c r="I69" s="64">
        <f>I68+H69</f>
        <v>36576914.800000004</v>
      </c>
    </row>
  </sheetData>
  <sheetProtection sheet="1" objects="1" scenarios="1" selectLockedCells="1" selectUnlockedCells="1"/>
  <mergeCells count="33">
    <mergeCell ref="C30:D30"/>
    <mergeCell ref="C32:D32"/>
    <mergeCell ref="C27:D27"/>
    <mergeCell ref="F23:I23"/>
    <mergeCell ref="C50:D50"/>
    <mergeCell ref="C38:D38"/>
    <mergeCell ref="C44:D44"/>
    <mergeCell ref="C45:D45"/>
    <mergeCell ref="C46:D46"/>
    <mergeCell ref="C47:D47"/>
    <mergeCell ref="C48:D48"/>
    <mergeCell ref="C49:D49"/>
    <mergeCell ref="C43:D43"/>
    <mergeCell ref="C39:D39"/>
    <mergeCell ref="C40:D40"/>
    <mergeCell ref="C41:D41"/>
    <mergeCell ref="C42:D42"/>
    <mergeCell ref="C56:H56"/>
    <mergeCell ref="C2:H2"/>
    <mergeCell ref="C7:H7"/>
    <mergeCell ref="C6:H6"/>
    <mergeCell ref="C5:H5"/>
    <mergeCell ref="C4:H4"/>
    <mergeCell ref="C3:H3"/>
    <mergeCell ref="C36:D36"/>
    <mergeCell ref="C13:D13"/>
    <mergeCell ref="F13:I13"/>
    <mergeCell ref="F15:G15"/>
    <mergeCell ref="F16:G16"/>
    <mergeCell ref="F17:G17"/>
    <mergeCell ref="F18:G18"/>
    <mergeCell ref="C28:D28"/>
    <mergeCell ref="C29:D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CC93-A310-49EE-B2CE-C12B6DFD917B}">
  <sheetPr>
    <tabColor rgb="FF00B050"/>
  </sheetPr>
  <dimension ref="B17:O47"/>
  <sheetViews>
    <sheetView topLeftCell="A16" workbookViewId="0">
      <selection activeCell="D25" sqref="D25"/>
    </sheetView>
  </sheetViews>
  <sheetFormatPr baseColWidth="10" defaultRowHeight="15" x14ac:dyDescent="0.25"/>
  <cols>
    <col min="2" max="2" width="6.5703125" customWidth="1"/>
    <col min="3" max="3" width="32.85546875" customWidth="1"/>
    <col min="5" max="5" width="13.42578125" bestFit="1" customWidth="1"/>
    <col min="8" max="8" width="12" bestFit="1" customWidth="1"/>
    <col min="9" max="14" width="13" bestFit="1" customWidth="1"/>
    <col min="15" max="15" width="12" bestFit="1" customWidth="1"/>
  </cols>
  <sheetData>
    <row r="17" spans="2:15" ht="15.75" thickBot="1" x14ac:dyDescent="0.3"/>
    <row r="18" spans="2:15" ht="32.25" thickBot="1" x14ac:dyDescent="0.3">
      <c r="B18" s="97" t="s">
        <v>67</v>
      </c>
      <c r="C18" s="59" t="s">
        <v>65</v>
      </c>
      <c r="D18" s="98" t="s">
        <v>66</v>
      </c>
      <c r="E18" s="60" t="s">
        <v>68</v>
      </c>
      <c r="G18" s="152" t="s">
        <v>20</v>
      </c>
      <c r="H18" s="153"/>
      <c r="I18" s="36" t="s">
        <v>13</v>
      </c>
      <c r="J18" s="36" t="s">
        <v>14</v>
      </c>
      <c r="K18" s="36" t="s">
        <v>15</v>
      </c>
      <c r="L18" s="36" t="s">
        <v>16</v>
      </c>
      <c r="M18" s="101" t="s">
        <v>17</v>
      </c>
    </row>
    <row r="19" spans="2:15" ht="15.75" x14ac:dyDescent="0.25">
      <c r="B19" s="62">
        <v>1</v>
      </c>
      <c r="C19" s="94" t="s">
        <v>49</v>
      </c>
      <c r="D19" s="95">
        <v>520000</v>
      </c>
      <c r="E19" s="96">
        <f>B19*D19</f>
        <v>520000</v>
      </c>
      <c r="G19" s="127" t="s">
        <v>70</v>
      </c>
      <c r="H19" s="128"/>
      <c r="I19" s="19">
        <v>1964000</v>
      </c>
      <c r="J19" s="19">
        <v>1964000</v>
      </c>
      <c r="K19" s="19">
        <v>1964000</v>
      </c>
      <c r="L19" s="19">
        <v>1964000</v>
      </c>
      <c r="M19" s="102">
        <v>1964000</v>
      </c>
    </row>
    <row r="20" spans="2:15" ht="16.5" thickBot="1" x14ac:dyDescent="0.3">
      <c r="B20" s="84">
        <v>2</v>
      </c>
      <c r="C20" s="90" t="s">
        <v>50</v>
      </c>
      <c r="D20" s="91">
        <v>300000</v>
      </c>
      <c r="E20" s="92">
        <f t="shared" ref="E20:E35" si="0">B20*D20</f>
        <v>600000</v>
      </c>
      <c r="G20" s="150" t="s">
        <v>45</v>
      </c>
      <c r="H20" s="151"/>
      <c r="I20" s="103">
        <f>SUM(I19:I19)</f>
        <v>1964000</v>
      </c>
      <c r="J20" s="103">
        <f>SUM(J19:J19)</f>
        <v>1964000</v>
      </c>
      <c r="K20" s="103">
        <f>SUM(K19:K19)</f>
        <v>1964000</v>
      </c>
      <c r="L20" s="103">
        <f>SUM(L19:L19)</f>
        <v>1964000</v>
      </c>
      <c r="M20" s="104">
        <f>SUM(M19:M19)</f>
        <v>1964000</v>
      </c>
    </row>
    <row r="21" spans="2:15" ht="15.75" x14ac:dyDescent="0.25">
      <c r="B21" s="84">
        <v>2</v>
      </c>
      <c r="C21" s="90" t="s">
        <v>51</v>
      </c>
      <c r="D21" s="91">
        <v>300000</v>
      </c>
      <c r="E21" s="92">
        <f t="shared" si="0"/>
        <v>600000</v>
      </c>
    </row>
    <row r="22" spans="2:15" ht="15.75" x14ac:dyDescent="0.25">
      <c r="B22" s="84">
        <v>2</v>
      </c>
      <c r="C22" s="90" t="s">
        <v>52</v>
      </c>
      <c r="D22" s="91">
        <v>150000</v>
      </c>
      <c r="E22" s="92">
        <f t="shared" si="0"/>
        <v>300000</v>
      </c>
    </row>
    <row r="23" spans="2:15" ht="16.5" thickBot="1" x14ac:dyDescent="0.3">
      <c r="B23" s="84">
        <v>4</v>
      </c>
      <c r="C23" s="90" t="s">
        <v>53</v>
      </c>
      <c r="D23" s="91">
        <v>400000</v>
      </c>
      <c r="E23" s="92">
        <f t="shared" si="0"/>
        <v>1600000</v>
      </c>
    </row>
    <row r="24" spans="2:15" ht="15.75" x14ac:dyDescent="0.25">
      <c r="B24" s="84">
        <v>2</v>
      </c>
      <c r="C24" s="90" t="s">
        <v>54</v>
      </c>
      <c r="D24" s="91">
        <v>300000</v>
      </c>
      <c r="E24" s="92">
        <f t="shared" si="0"/>
        <v>600000</v>
      </c>
      <c r="G24" s="154" t="s">
        <v>73</v>
      </c>
      <c r="H24" s="155"/>
      <c r="I24" s="105" t="s">
        <v>79</v>
      </c>
      <c r="J24" s="105" t="s">
        <v>80</v>
      </c>
      <c r="K24" s="105" t="s">
        <v>81</v>
      </c>
      <c r="L24" s="105" t="s">
        <v>82</v>
      </c>
      <c r="M24" s="105" t="s">
        <v>83</v>
      </c>
      <c r="N24" s="106" t="s">
        <v>84</v>
      </c>
    </row>
    <row r="25" spans="2:15" ht="15.75" x14ac:dyDescent="0.25">
      <c r="B25" s="84">
        <v>4</v>
      </c>
      <c r="C25" s="90" t="s">
        <v>55</v>
      </c>
      <c r="D25" s="91">
        <v>80000</v>
      </c>
      <c r="E25" s="92">
        <f t="shared" si="0"/>
        <v>320000</v>
      </c>
      <c r="G25" s="156" t="s">
        <v>74</v>
      </c>
      <c r="H25" s="157"/>
      <c r="I25" s="91">
        <v>43000</v>
      </c>
      <c r="J25" s="91">
        <v>43000</v>
      </c>
      <c r="K25" s="91">
        <v>43000</v>
      </c>
      <c r="L25" s="91">
        <v>43000</v>
      </c>
      <c r="M25" s="91">
        <v>43000</v>
      </c>
      <c r="N25" s="92">
        <v>43000</v>
      </c>
    </row>
    <row r="26" spans="2:15" ht="16.5" customHeight="1" x14ac:dyDescent="0.25">
      <c r="B26" s="84">
        <v>4</v>
      </c>
      <c r="C26" s="90" t="s">
        <v>56</v>
      </c>
      <c r="D26" s="91">
        <v>50000</v>
      </c>
      <c r="E26" s="92">
        <f t="shared" si="0"/>
        <v>200000</v>
      </c>
      <c r="G26" s="156" t="s">
        <v>75</v>
      </c>
      <c r="H26" s="157"/>
      <c r="I26" s="91">
        <v>70000</v>
      </c>
      <c r="J26" s="91">
        <v>70000</v>
      </c>
      <c r="K26" s="91">
        <v>70000</v>
      </c>
      <c r="L26" s="91">
        <v>70000</v>
      </c>
      <c r="M26" s="91">
        <v>70000</v>
      </c>
      <c r="N26" s="92">
        <v>70000</v>
      </c>
    </row>
    <row r="27" spans="2:15" ht="15" customHeight="1" x14ac:dyDescent="0.25">
      <c r="B27" s="84">
        <v>4</v>
      </c>
      <c r="C27" s="90" t="s">
        <v>57</v>
      </c>
      <c r="D27" s="91">
        <v>60000</v>
      </c>
      <c r="E27" s="92">
        <f t="shared" si="0"/>
        <v>240000</v>
      </c>
      <c r="G27" s="156" t="s">
        <v>76</v>
      </c>
      <c r="H27" s="157"/>
      <c r="I27" s="91">
        <v>120000</v>
      </c>
      <c r="J27" s="91">
        <v>120000</v>
      </c>
      <c r="K27" s="91">
        <v>120000</v>
      </c>
      <c r="L27" s="91">
        <v>120000</v>
      </c>
      <c r="M27" s="91">
        <v>120000</v>
      </c>
      <c r="N27" s="92">
        <v>120000</v>
      </c>
    </row>
    <row r="28" spans="2:15" ht="15.75" x14ac:dyDescent="0.25">
      <c r="B28" s="84">
        <v>4</v>
      </c>
      <c r="C28" s="90" t="s">
        <v>58</v>
      </c>
      <c r="D28" s="91">
        <v>60000</v>
      </c>
      <c r="E28" s="92">
        <f t="shared" si="0"/>
        <v>240000</v>
      </c>
      <c r="G28" s="156" t="s">
        <v>77</v>
      </c>
      <c r="H28" s="157"/>
      <c r="I28" s="91">
        <v>100000</v>
      </c>
      <c r="J28" s="91">
        <v>100000</v>
      </c>
      <c r="K28" s="91">
        <v>100000</v>
      </c>
      <c r="L28" s="91">
        <v>100000</v>
      </c>
      <c r="M28" s="91">
        <v>100000</v>
      </c>
      <c r="N28" s="92">
        <v>100000</v>
      </c>
    </row>
    <row r="29" spans="2:15" ht="15" customHeight="1" x14ac:dyDescent="0.25">
      <c r="B29" s="84">
        <v>10</v>
      </c>
      <c r="C29" s="90" t="s">
        <v>59</v>
      </c>
      <c r="D29" s="91">
        <v>25000</v>
      </c>
      <c r="E29" s="92">
        <f t="shared" si="0"/>
        <v>250000</v>
      </c>
      <c r="G29" s="156" t="s">
        <v>78</v>
      </c>
      <c r="H29" s="157"/>
      <c r="I29" s="144">
        <v>500000</v>
      </c>
      <c r="J29" s="144"/>
      <c r="K29" s="144"/>
      <c r="L29" s="144"/>
      <c r="M29" s="144"/>
      <c r="N29" s="145"/>
    </row>
    <row r="30" spans="2:15" ht="25.5" customHeight="1" x14ac:dyDescent="0.25">
      <c r="B30" s="84">
        <v>1</v>
      </c>
      <c r="C30" s="90" t="s">
        <v>60</v>
      </c>
      <c r="D30" s="91">
        <v>600000</v>
      </c>
      <c r="E30" s="92">
        <f t="shared" si="0"/>
        <v>600000</v>
      </c>
      <c r="G30" s="148" t="s">
        <v>86</v>
      </c>
      <c r="H30" s="149"/>
      <c r="I30" s="75">
        <v>700000</v>
      </c>
      <c r="J30" s="75">
        <v>700000</v>
      </c>
      <c r="K30" s="75">
        <v>700000</v>
      </c>
      <c r="L30" s="75">
        <v>700000</v>
      </c>
      <c r="M30" s="75">
        <v>700000</v>
      </c>
      <c r="N30" s="108">
        <v>700000</v>
      </c>
    </row>
    <row r="31" spans="2:15" ht="16.5" thickBot="1" x14ac:dyDescent="0.3">
      <c r="B31" s="84">
        <v>10</v>
      </c>
      <c r="C31" s="90" t="s">
        <v>61</v>
      </c>
      <c r="D31" s="91">
        <v>30000</v>
      </c>
      <c r="E31" s="92">
        <f t="shared" si="0"/>
        <v>300000</v>
      </c>
      <c r="G31" s="146" t="s">
        <v>85</v>
      </c>
      <c r="H31" s="147"/>
      <c r="I31" s="107">
        <f>SUM(I25:I30)</f>
        <v>1533000</v>
      </c>
      <c r="J31" s="107">
        <f>SUM(J25:J28)+J30</f>
        <v>1033000</v>
      </c>
      <c r="K31" s="107">
        <f>SUM(K25:K28)</f>
        <v>333000</v>
      </c>
      <c r="L31" s="107">
        <f>SUM(L25:L28)</f>
        <v>333000</v>
      </c>
      <c r="M31" s="107">
        <f>SUM(M25:M28)</f>
        <v>333000</v>
      </c>
      <c r="N31" s="93">
        <f>SUM(N25:N28)</f>
        <v>333000</v>
      </c>
      <c r="O31" s="100"/>
    </row>
    <row r="32" spans="2:15" ht="15.75" x14ac:dyDescent="0.25">
      <c r="B32" s="84">
        <v>10</v>
      </c>
      <c r="C32" s="90" t="s">
        <v>62</v>
      </c>
      <c r="D32" s="91">
        <v>160000</v>
      </c>
      <c r="E32" s="92">
        <f t="shared" si="0"/>
        <v>1600000</v>
      </c>
      <c r="H32" s="100"/>
      <c r="O32" s="100"/>
    </row>
    <row r="33" spans="2:13" ht="16.5" thickBot="1" x14ac:dyDescent="0.3">
      <c r="B33" s="84">
        <v>10</v>
      </c>
      <c r="C33" s="90" t="s">
        <v>63</v>
      </c>
      <c r="D33" s="91">
        <v>90000</v>
      </c>
      <c r="E33" s="92">
        <f t="shared" si="0"/>
        <v>900000</v>
      </c>
    </row>
    <row r="34" spans="2:13" ht="15.75" x14ac:dyDescent="0.25">
      <c r="B34" s="84">
        <v>5</v>
      </c>
      <c r="C34" s="90" t="s">
        <v>64</v>
      </c>
      <c r="D34" s="91">
        <v>90000</v>
      </c>
      <c r="E34" s="92">
        <f t="shared" si="0"/>
        <v>450000</v>
      </c>
      <c r="G34" s="152" t="s">
        <v>20</v>
      </c>
      <c r="H34" s="153"/>
      <c r="I34" s="36" t="s">
        <v>13</v>
      </c>
      <c r="J34" s="36" t="s">
        <v>14</v>
      </c>
      <c r="K34" s="36" t="s">
        <v>15</v>
      </c>
      <c r="L34" s="36" t="s">
        <v>16</v>
      </c>
      <c r="M34" s="101" t="s">
        <v>17</v>
      </c>
    </row>
    <row r="35" spans="2:13" ht="15.75" x14ac:dyDescent="0.25">
      <c r="B35" s="84">
        <v>10</v>
      </c>
      <c r="C35" s="90" t="s">
        <v>48</v>
      </c>
      <c r="D35" s="91">
        <v>50000</v>
      </c>
      <c r="E35" s="92">
        <f t="shared" si="0"/>
        <v>500000</v>
      </c>
      <c r="G35" s="127" t="s">
        <v>87</v>
      </c>
      <c r="H35" s="128"/>
      <c r="I35" s="19">
        <f>$E$41/5</f>
        <v>960000</v>
      </c>
      <c r="J35" s="19">
        <f t="shared" ref="J35:M35" si="1">$E$41/5</f>
        <v>960000</v>
      </c>
      <c r="K35" s="19">
        <f t="shared" si="1"/>
        <v>960000</v>
      </c>
      <c r="L35" s="19">
        <f t="shared" si="1"/>
        <v>960000</v>
      </c>
      <c r="M35" s="102">
        <f t="shared" si="1"/>
        <v>960000</v>
      </c>
    </row>
    <row r="36" spans="2:13" ht="15.75" thickBot="1" x14ac:dyDescent="0.3">
      <c r="B36" s="150" t="s">
        <v>69</v>
      </c>
      <c r="C36" s="151"/>
      <c r="D36" s="151"/>
      <c r="E36" s="99">
        <f>SUM(E19:E35)</f>
        <v>9820000</v>
      </c>
      <c r="G36" s="127" t="s">
        <v>88</v>
      </c>
      <c r="H36" s="128"/>
      <c r="I36" s="19">
        <f>$E$42/5</f>
        <v>320000</v>
      </c>
      <c r="J36" s="19">
        <f t="shared" ref="J36:M36" si="2">$E$42/5</f>
        <v>320000</v>
      </c>
      <c r="K36" s="19">
        <f t="shared" si="2"/>
        <v>320000</v>
      </c>
      <c r="L36" s="19">
        <f t="shared" si="2"/>
        <v>320000</v>
      </c>
      <c r="M36" s="102">
        <f t="shared" si="2"/>
        <v>320000</v>
      </c>
    </row>
    <row r="37" spans="2:13" x14ac:dyDescent="0.25">
      <c r="G37" s="127" t="s">
        <v>89</v>
      </c>
      <c r="H37" s="128"/>
      <c r="I37" s="19">
        <f>$E$43/5</f>
        <v>320000</v>
      </c>
      <c r="J37" s="19">
        <f t="shared" ref="J37:M37" si="3">$E$43/5</f>
        <v>320000</v>
      </c>
      <c r="K37" s="19">
        <f t="shared" si="3"/>
        <v>320000</v>
      </c>
      <c r="L37" s="19">
        <f t="shared" si="3"/>
        <v>320000</v>
      </c>
      <c r="M37" s="102">
        <f t="shared" si="3"/>
        <v>320000</v>
      </c>
    </row>
    <row r="38" spans="2:13" x14ac:dyDescent="0.25">
      <c r="G38" s="127" t="s">
        <v>90</v>
      </c>
      <c r="H38" s="128"/>
      <c r="I38" s="19">
        <f>$E$44/5</f>
        <v>80000</v>
      </c>
      <c r="J38" s="19">
        <f t="shared" ref="J38:M38" si="4">$E$44/5</f>
        <v>80000</v>
      </c>
      <c r="K38" s="19">
        <f t="shared" si="4"/>
        <v>80000</v>
      </c>
      <c r="L38" s="19">
        <f t="shared" si="4"/>
        <v>80000</v>
      </c>
      <c r="M38" s="102">
        <f t="shared" si="4"/>
        <v>80000</v>
      </c>
    </row>
    <row r="39" spans="2:13" ht="15.75" thickBot="1" x14ac:dyDescent="0.3">
      <c r="G39" s="150" t="s">
        <v>45</v>
      </c>
      <c r="H39" s="151"/>
      <c r="I39" s="103">
        <f>SUM(I35:I38)</f>
        <v>1680000</v>
      </c>
      <c r="J39" s="103">
        <f t="shared" ref="J39:M39" si="5">SUM(J35:J38)</f>
        <v>1680000</v>
      </c>
      <c r="K39" s="103">
        <f t="shared" si="5"/>
        <v>1680000</v>
      </c>
      <c r="L39" s="103">
        <f t="shared" si="5"/>
        <v>1680000</v>
      </c>
      <c r="M39" s="104">
        <f t="shared" si="5"/>
        <v>1680000</v>
      </c>
    </row>
    <row r="40" spans="2:13" x14ac:dyDescent="0.25">
      <c r="B40" s="41" t="s">
        <v>91</v>
      </c>
      <c r="C40" s="36" t="s">
        <v>65</v>
      </c>
      <c r="D40" s="36" t="s">
        <v>92</v>
      </c>
      <c r="E40" s="101" t="s">
        <v>93</v>
      </c>
    </row>
    <row r="41" spans="2:13" x14ac:dyDescent="0.25">
      <c r="B41" s="84">
        <v>4</v>
      </c>
      <c r="C41" s="2" t="s">
        <v>87</v>
      </c>
      <c r="D41" s="2">
        <v>1200000</v>
      </c>
      <c r="E41" s="92">
        <f t="shared" ref="E41:E44" si="6">B41*D41</f>
        <v>4800000</v>
      </c>
    </row>
    <row r="42" spans="2:13" x14ac:dyDescent="0.25">
      <c r="B42" s="84">
        <v>4</v>
      </c>
      <c r="C42" s="2" t="s">
        <v>88</v>
      </c>
      <c r="D42" s="2">
        <v>400000</v>
      </c>
      <c r="E42" s="92">
        <f t="shared" si="6"/>
        <v>1600000</v>
      </c>
    </row>
    <row r="43" spans="2:13" x14ac:dyDescent="0.25">
      <c r="B43" s="84">
        <v>4</v>
      </c>
      <c r="C43" s="2" t="s">
        <v>89</v>
      </c>
      <c r="D43" s="2">
        <v>400000</v>
      </c>
      <c r="E43" s="92">
        <f t="shared" si="6"/>
        <v>1600000</v>
      </c>
    </row>
    <row r="44" spans="2:13" x14ac:dyDescent="0.25">
      <c r="B44" s="84">
        <v>4</v>
      </c>
      <c r="C44" s="2" t="s">
        <v>90</v>
      </c>
      <c r="D44" s="2">
        <v>100000</v>
      </c>
      <c r="E44" s="92">
        <f t="shared" si="6"/>
        <v>400000</v>
      </c>
    </row>
    <row r="45" spans="2:13" ht="15.75" thickBot="1" x14ac:dyDescent="0.3">
      <c r="B45" s="150" t="s">
        <v>85</v>
      </c>
      <c r="C45" s="151"/>
      <c r="D45" s="151"/>
      <c r="E45" s="109">
        <f>SUM(E41:E44)</f>
        <v>8400000</v>
      </c>
    </row>
    <row r="47" spans="2:13" x14ac:dyDescent="0.25">
      <c r="C47" s="8"/>
    </row>
  </sheetData>
  <sheetProtection sheet="1" objects="1" scenarios="1" selectLockedCells="1" selectUnlockedCells="1"/>
  <mergeCells count="20">
    <mergeCell ref="G26:H26"/>
    <mergeCell ref="G27:H27"/>
    <mergeCell ref="G28:H28"/>
    <mergeCell ref="G29:H29"/>
    <mergeCell ref="G18:H18"/>
    <mergeCell ref="G19:H19"/>
    <mergeCell ref="G20:H20"/>
    <mergeCell ref="G24:H24"/>
    <mergeCell ref="G25:H25"/>
    <mergeCell ref="I29:N29"/>
    <mergeCell ref="G31:H31"/>
    <mergeCell ref="G30:H30"/>
    <mergeCell ref="B45:D45"/>
    <mergeCell ref="G35:H35"/>
    <mergeCell ref="G39:H39"/>
    <mergeCell ref="G36:H36"/>
    <mergeCell ref="G37:H37"/>
    <mergeCell ref="G38:H38"/>
    <mergeCell ref="G34:H34"/>
    <mergeCell ref="B36:D36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F6D5-0FD5-429D-8DDD-364B19C709A8}">
  <sheetPr>
    <tabColor rgb="FFFF0000"/>
  </sheetPr>
  <dimension ref="A2:C43"/>
  <sheetViews>
    <sheetView workbookViewId="0">
      <selection activeCell="A12" sqref="A12"/>
    </sheetView>
  </sheetViews>
  <sheetFormatPr baseColWidth="10" defaultRowHeight="15" x14ac:dyDescent="0.25"/>
  <cols>
    <col min="1" max="1" width="68.85546875" style="114" customWidth="1"/>
  </cols>
  <sheetData>
    <row r="2" spans="1:3" ht="15.75" x14ac:dyDescent="0.25">
      <c r="A2" s="113" t="s">
        <v>98</v>
      </c>
      <c r="B2" s="2"/>
      <c r="C2" s="2">
        <f>SUM(B3:B6)</f>
        <v>100</v>
      </c>
    </row>
    <row r="3" spans="1:3" ht="15.75" x14ac:dyDescent="0.25">
      <c r="A3" s="113" t="s">
        <v>99</v>
      </c>
      <c r="B3" s="2">
        <v>48</v>
      </c>
      <c r="C3" s="161"/>
    </row>
    <row r="4" spans="1:3" ht="15.75" x14ac:dyDescent="0.25">
      <c r="A4" s="113" t="s">
        <v>100</v>
      </c>
      <c r="B4" s="2">
        <v>30</v>
      </c>
      <c r="C4" s="162"/>
    </row>
    <row r="5" spans="1:3" ht="15.75" x14ac:dyDescent="0.25">
      <c r="A5" s="113" t="s">
        <v>101</v>
      </c>
      <c r="B5" s="2">
        <v>7</v>
      </c>
      <c r="C5" s="162"/>
    </row>
    <row r="6" spans="1:3" ht="15.75" x14ac:dyDescent="0.25">
      <c r="A6" s="113" t="s">
        <v>102</v>
      </c>
      <c r="B6" s="2">
        <v>15</v>
      </c>
      <c r="C6" s="163"/>
    </row>
    <row r="7" spans="1:3" ht="15.75" x14ac:dyDescent="0.25">
      <c r="A7" s="158"/>
      <c r="B7" s="159"/>
      <c r="C7" s="160"/>
    </row>
    <row r="8" spans="1:3" ht="31.5" x14ac:dyDescent="0.25">
      <c r="A8" s="113" t="s">
        <v>103</v>
      </c>
      <c r="B8" s="2"/>
      <c r="C8" s="2">
        <f>SUM(B9:B18)</f>
        <v>100</v>
      </c>
    </row>
    <row r="9" spans="1:3" ht="15.75" x14ac:dyDescent="0.25">
      <c r="A9" s="113" t="s">
        <v>104</v>
      </c>
      <c r="B9" s="2">
        <v>3</v>
      </c>
      <c r="C9" s="161"/>
    </row>
    <row r="10" spans="1:3" ht="15.75" x14ac:dyDescent="0.25">
      <c r="A10" s="113" t="s">
        <v>105</v>
      </c>
      <c r="B10" s="2">
        <v>5</v>
      </c>
      <c r="C10" s="162"/>
    </row>
    <row r="11" spans="1:3" ht="15.75" x14ac:dyDescent="0.25">
      <c r="A11" s="113" t="s">
        <v>106</v>
      </c>
      <c r="B11" s="2">
        <v>1</v>
      </c>
      <c r="C11" s="162"/>
    </row>
    <row r="12" spans="1:3" ht="15.75" x14ac:dyDescent="0.25">
      <c r="A12" s="113" t="s">
        <v>133</v>
      </c>
      <c r="B12" s="2">
        <v>1</v>
      </c>
      <c r="C12" s="162"/>
    </row>
    <row r="13" spans="1:3" ht="15.75" x14ac:dyDescent="0.25">
      <c r="A13" s="113" t="s">
        <v>107</v>
      </c>
      <c r="B13" s="2">
        <v>2</v>
      </c>
      <c r="C13" s="162"/>
    </row>
    <row r="14" spans="1:3" ht="15.75" x14ac:dyDescent="0.25">
      <c r="A14" s="113" t="s">
        <v>108</v>
      </c>
      <c r="B14" s="2">
        <v>3</v>
      </c>
      <c r="C14" s="162"/>
    </row>
    <row r="15" spans="1:3" ht="15.75" x14ac:dyDescent="0.25">
      <c r="A15" s="113" t="s">
        <v>109</v>
      </c>
      <c r="B15" s="2">
        <v>3</v>
      </c>
      <c r="C15" s="162"/>
    </row>
    <row r="16" spans="1:3" ht="15.75" x14ac:dyDescent="0.25">
      <c r="A16" s="113" t="s">
        <v>110</v>
      </c>
      <c r="B16" s="2">
        <v>5</v>
      </c>
      <c r="C16" s="162"/>
    </row>
    <row r="17" spans="1:3" ht="15.75" x14ac:dyDescent="0.25">
      <c r="A17" s="113" t="s">
        <v>111</v>
      </c>
      <c r="B17" s="2">
        <v>73</v>
      </c>
      <c r="C17" s="162"/>
    </row>
    <row r="18" spans="1:3" ht="15.75" x14ac:dyDescent="0.25">
      <c r="A18" s="113" t="s">
        <v>112</v>
      </c>
      <c r="B18" s="2">
        <v>4</v>
      </c>
      <c r="C18" s="163"/>
    </row>
    <row r="19" spans="1:3" ht="15.75" x14ac:dyDescent="0.25">
      <c r="A19" s="158"/>
      <c r="B19" s="159"/>
      <c r="C19" s="160"/>
    </row>
    <row r="20" spans="1:3" ht="15.75" x14ac:dyDescent="0.25">
      <c r="A20" s="113" t="s">
        <v>113</v>
      </c>
      <c r="B20" s="2"/>
      <c r="C20" s="2">
        <f>SUM(B21:B22)</f>
        <v>100</v>
      </c>
    </row>
    <row r="21" spans="1:3" ht="15.75" x14ac:dyDescent="0.25">
      <c r="A21" s="113" t="s">
        <v>114</v>
      </c>
      <c r="B21" s="2">
        <v>22</v>
      </c>
      <c r="C21" s="161"/>
    </row>
    <row r="22" spans="1:3" ht="15.75" x14ac:dyDescent="0.25">
      <c r="A22" s="113" t="s">
        <v>115</v>
      </c>
      <c r="B22" s="2">
        <v>78</v>
      </c>
      <c r="C22" s="163"/>
    </row>
    <row r="23" spans="1:3" ht="15.75" x14ac:dyDescent="0.25">
      <c r="A23" s="158"/>
      <c r="B23" s="159"/>
      <c r="C23" s="160"/>
    </row>
    <row r="24" spans="1:3" ht="15.75" x14ac:dyDescent="0.25">
      <c r="A24" s="113" t="s">
        <v>116</v>
      </c>
      <c r="B24" s="2"/>
      <c r="C24" s="2">
        <f>SUM(B25:B28)</f>
        <v>100</v>
      </c>
    </row>
    <row r="25" spans="1:3" ht="15.75" x14ac:dyDescent="0.25">
      <c r="A25" s="113" t="s">
        <v>117</v>
      </c>
      <c r="B25" s="2">
        <v>23</v>
      </c>
      <c r="C25" s="161"/>
    </row>
    <row r="26" spans="1:3" ht="15.75" x14ac:dyDescent="0.25">
      <c r="A26" s="113" t="s">
        <v>118</v>
      </c>
      <c r="B26" s="2">
        <v>7</v>
      </c>
      <c r="C26" s="162"/>
    </row>
    <row r="27" spans="1:3" ht="15.75" x14ac:dyDescent="0.25">
      <c r="A27" s="113" t="s">
        <v>119</v>
      </c>
      <c r="B27" s="2">
        <v>30</v>
      </c>
      <c r="C27" s="162"/>
    </row>
    <row r="28" spans="1:3" ht="15.75" x14ac:dyDescent="0.25">
      <c r="A28" s="113" t="s">
        <v>120</v>
      </c>
      <c r="B28" s="2">
        <v>40</v>
      </c>
      <c r="C28" s="163"/>
    </row>
    <row r="29" spans="1:3" ht="15.75" x14ac:dyDescent="0.25">
      <c r="A29" s="158"/>
      <c r="B29" s="159"/>
      <c r="C29" s="160"/>
    </row>
    <row r="30" spans="1:3" ht="31.5" x14ac:dyDescent="0.25">
      <c r="A30" s="113" t="s">
        <v>121</v>
      </c>
      <c r="B30" s="2"/>
      <c r="C30" s="2">
        <f>SUM(B31:B33)</f>
        <v>100</v>
      </c>
    </row>
    <row r="31" spans="1:3" ht="15.75" x14ac:dyDescent="0.25">
      <c r="A31" s="113" t="s">
        <v>122</v>
      </c>
      <c r="B31" s="2">
        <v>70</v>
      </c>
      <c r="C31" s="161"/>
    </row>
    <row r="32" spans="1:3" ht="15.75" x14ac:dyDescent="0.25">
      <c r="A32" s="113" t="s">
        <v>123</v>
      </c>
      <c r="B32" s="2">
        <v>20</v>
      </c>
      <c r="C32" s="162"/>
    </row>
    <row r="33" spans="1:3" ht="15.75" x14ac:dyDescent="0.25">
      <c r="A33" s="113" t="s">
        <v>124</v>
      </c>
      <c r="B33" s="2">
        <v>10</v>
      </c>
      <c r="C33" s="163"/>
    </row>
    <row r="34" spans="1:3" ht="15.75" x14ac:dyDescent="0.25">
      <c r="A34" s="158"/>
      <c r="B34" s="159"/>
      <c r="C34" s="160"/>
    </row>
    <row r="35" spans="1:3" ht="31.5" x14ac:dyDescent="0.25">
      <c r="A35" s="113" t="s">
        <v>125</v>
      </c>
      <c r="B35" s="2"/>
      <c r="C35" s="2">
        <f>SUM(B36:B38)</f>
        <v>100</v>
      </c>
    </row>
    <row r="36" spans="1:3" ht="15.75" x14ac:dyDescent="0.25">
      <c r="A36" s="113" t="s">
        <v>126</v>
      </c>
      <c r="B36" s="2">
        <v>28</v>
      </c>
      <c r="C36" s="161"/>
    </row>
    <row r="37" spans="1:3" ht="15.75" x14ac:dyDescent="0.25">
      <c r="A37" s="113" t="s">
        <v>127</v>
      </c>
      <c r="B37" s="2">
        <v>62</v>
      </c>
      <c r="C37" s="162"/>
    </row>
    <row r="38" spans="1:3" ht="15.75" x14ac:dyDescent="0.25">
      <c r="A38" s="113" t="s">
        <v>128</v>
      </c>
      <c r="B38" s="2">
        <v>10</v>
      </c>
      <c r="C38" s="163"/>
    </row>
    <row r="39" spans="1:3" ht="15.75" x14ac:dyDescent="0.25">
      <c r="A39" s="158"/>
      <c r="B39" s="159"/>
      <c r="C39" s="160"/>
    </row>
    <row r="40" spans="1:3" ht="31.5" x14ac:dyDescent="0.25">
      <c r="A40" s="113" t="s">
        <v>129</v>
      </c>
      <c r="B40" s="2"/>
      <c r="C40" s="2">
        <f>SUM(B41:B43)</f>
        <v>100</v>
      </c>
    </row>
    <row r="41" spans="1:3" ht="15.75" x14ac:dyDescent="0.25">
      <c r="A41" s="113" t="s">
        <v>130</v>
      </c>
      <c r="B41" s="2">
        <v>15</v>
      </c>
      <c r="C41" s="161"/>
    </row>
    <row r="42" spans="1:3" ht="15.75" x14ac:dyDescent="0.25">
      <c r="A42" s="113" t="s">
        <v>131</v>
      </c>
      <c r="B42" s="2">
        <v>18</v>
      </c>
      <c r="C42" s="162"/>
    </row>
    <row r="43" spans="1:3" ht="15.75" x14ac:dyDescent="0.25">
      <c r="A43" s="113" t="s">
        <v>132</v>
      </c>
      <c r="B43" s="2">
        <v>67</v>
      </c>
      <c r="C43" s="163"/>
    </row>
  </sheetData>
  <sheetProtection sheet="1" objects="1" scenarios="1" selectLockedCells="1" selectUnlockedCells="1"/>
  <mergeCells count="13">
    <mergeCell ref="C41:C43"/>
    <mergeCell ref="C25:C28"/>
    <mergeCell ref="A29:C29"/>
    <mergeCell ref="C31:C33"/>
    <mergeCell ref="A34:C34"/>
    <mergeCell ref="C36:C38"/>
    <mergeCell ref="A39:C39"/>
    <mergeCell ref="A23:C23"/>
    <mergeCell ref="C3:C6"/>
    <mergeCell ref="A7:C7"/>
    <mergeCell ref="C9:C18"/>
    <mergeCell ref="A19:C19"/>
    <mergeCell ref="C21:C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estudio financiero </vt:lpstr>
      <vt:lpstr>equipo y depreciacion</vt:lpstr>
      <vt:lpstr>encuestas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Sosa</dc:creator>
  <cp:lastModifiedBy>Monica Maritza Cobos Calderon</cp:lastModifiedBy>
  <cp:lastPrinted>2018-05-16T20:08:24Z</cp:lastPrinted>
  <dcterms:created xsi:type="dcterms:W3CDTF">2016-11-24T16:12:15Z</dcterms:created>
  <dcterms:modified xsi:type="dcterms:W3CDTF">2025-07-02T14:21:42Z</dcterms:modified>
</cp:coreProperties>
</file>