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enovo\Downloads\"/>
    </mc:Choice>
  </mc:AlternateContent>
  <xr:revisionPtr revIDLastSave="0" documentId="8_{69B195D4-8728-4E0D-800D-8B61BB9A05A8}" xr6:coauthVersionLast="47" xr6:coauthVersionMax="47" xr10:uidLastSave="{00000000-0000-0000-0000-000000000000}"/>
  <bookViews>
    <workbookView xWindow="-120" yWindow="-120" windowWidth="19440" windowHeight="10590" activeTab="1" xr2:uid="{7034A628-7F4E-4CC7-9668-A0951CD9239B}"/>
  </bookViews>
  <sheets>
    <sheet name="RESULTADSO" sheetId="6" r:id="rId1"/>
    <sheet name="BASE" sheetId="5" r:id="rId2"/>
    <sheet name="CERCON" sheetId="1" r:id="rId3"/>
    <sheet name="objetivos" sheetId="4" r:id="rId4"/>
    <sheet name="SAGEMAX" sheetId="2" r:id="rId5"/>
    <sheet name="VITA" sheetId="3" r:id="rId6"/>
  </sheets>
  <externalReferences>
    <externalReference r:id="rId7"/>
  </externalReferences>
  <definedNames>
    <definedName name="_xlchart.v1.0" hidden="1">BASE!$B$1</definedName>
    <definedName name="_xlchart.v1.1" hidden="1">BASE!$B$2:$B$17</definedName>
    <definedName name="_xlchart.v1.2" hidden="1">BASE!$C$1</definedName>
    <definedName name="_xlchart.v1.3" hidden="1">BASE!$C$2:$C$17</definedName>
    <definedName name="_xlchart.v1.4" hidden="1">BASE!$D$1</definedName>
    <definedName name="_xlchart.v1.5" hidden="1">BASE!$D$2:$D$17</definedName>
  </definedNames>
  <calcPr calcId="181029"/>
  <fileRecoveryPr repair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36" i="5" l="1"/>
  <c r="Z30" i="5"/>
  <c r="Y30" i="5"/>
  <c r="X30" i="5"/>
  <c r="W30" i="5"/>
  <c r="X35" i="5" s="1"/>
  <c r="Z29" i="5"/>
  <c r="Y29" i="5"/>
  <c r="X29" i="5"/>
  <c r="Y36" i="5" s="1"/>
  <c r="W29" i="5"/>
  <c r="W36" i="5" s="1"/>
  <c r="Z28" i="5"/>
  <c r="Z31" i="5" s="1"/>
  <c r="Y28" i="5"/>
  <c r="Y31" i="5" s="1"/>
  <c r="AA31" i="5" s="1"/>
  <c r="X28" i="5"/>
  <c r="Y34" i="5" s="1"/>
  <c r="W28" i="5"/>
  <c r="W34" i="5" s="1"/>
  <c r="O38" i="5"/>
  <c r="N38" i="5"/>
  <c r="R32" i="5"/>
  <c r="Q32" i="5"/>
  <c r="P32" i="5"/>
  <c r="O32" i="5"/>
  <c r="N32" i="5"/>
  <c r="M32" i="5"/>
  <c r="R31" i="5"/>
  <c r="Q31" i="5"/>
  <c r="P31" i="5"/>
  <c r="O31" i="5"/>
  <c r="N31" i="5"/>
  <c r="M31" i="5"/>
  <c r="R30" i="5"/>
  <c r="N37" i="5" s="1"/>
  <c r="Q30" i="5"/>
  <c r="P30" i="5"/>
  <c r="O30" i="5"/>
  <c r="N30" i="5"/>
  <c r="M30" i="5"/>
  <c r="O36" i="5" s="1"/>
  <c r="M4" i="5"/>
  <c r="N4" i="5"/>
  <c r="L4" i="5"/>
  <c r="H5" i="5"/>
  <c r="I5" i="5"/>
  <c r="H6" i="5"/>
  <c r="I6" i="5"/>
  <c r="H7" i="5"/>
  <c r="I7" i="5"/>
  <c r="H8" i="5"/>
  <c r="I8" i="5"/>
  <c r="H9" i="5"/>
  <c r="I9" i="5"/>
  <c r="H10" i="5"/>
  <c r="I10" i="5"/>
  <c r="H11" i="5"/>
  <c r="I11" i="5"/>
  <c r="H12" i="5"/>
  <c r="I12" i="5"/>
  <c r="H14" i="5"/>
  <c r="I14" i="5"/>
  <c r="H15" i="5"/>
  <c r="I15" i="5"/>
  <c r="H16" i="5"/>
  <c r="I16" i="5"/>
  <c r="H17" i="5"/>
  <c r="I17" i="5"/>
  <c r="H18" i="5"/>
  <c r="I18" i="5"/>
  <c r="H19" i="5"/>
  <c r="I19" i="5"/>
  <c r="H20" i="5"/>
  <c r="I20" i="5"/>
  <c r="G20" i="5"/>
  <c r="G19" i="5"/>
  <c r="G18" i="5"/>
  <c r="G17" i="5"/>
  <c r="G16" i="5"/>
  <c r="G15" i="5"/>
  <c r="G14" i="5"/>
  <c r="G12" i="5"/>
  <c r="G11" i="5"/>
  <c r="G10" i="5"/>
  <c r="G9" i="5"/>
  <c r="G8" i="5"/>
  <c r="G7" i="5"/>
  <c r="G6" i="5"/>
  <c r="G5" i="5"/>
  <c r="H4" i="5"/>
  <c r="I4" i="5"/>
  <c r="G4" i="5"/>
  <c r="AD36" i="5"/>
  <c r="AD35" i="5"/>
  <c r="AD34" i="5"/>
  <c r="AB31" i="5"/>
  <c r="M12" i="5"/>
  <c r="N12" i="5"/>
  <c r="M13" i="5"/>
  <c r="N13" i="5"/>
  <c r="L13" i="5"/>
  <c r="L12" i="5"/>
  <c r="M5" i="5"/>
  <c r="N5" i="5"/>
  <c r="M6" i="5"/>
  <c r="N6" i="5"/>
  <c r="L6" i="5"/>
  <c r="L5" i="5"/>
  <c r="H21" i="5"/>
  <c r="I21" i="5"/>
  <c r="H22" i="5"/>
  <c r="I22" i="5"/>
  <c r="G22" i="5"/>
  <c r="G21" i="5"/>
  <c r="Z35" i="5" l="1"/>
  <c r="AE35" i="5" s="1"/>
  <c r="Z36" i="5"/>
  <c r="AE36" i="5" s="1"/>
  <c r="Z34" i="5"/>
  <c r="AE34" i="5" s="1"/>
  <c r="AC34" i="5"/>
  <c r="AB34" i="5"/>
  <c r="AA34" i="5"/>
  <c r="AF34" i="5"/>
  <c r="AB36" i="5"/>
  <c r="AC36" i="5"/>
  <c r="AF36" i="5"/>
  <c r="AA36" i="5"/>
  <c r="W35" i="5"/>
  <c r="Y35" i="5"/>
  <c r="I13" i="5"/>
  <c r="O37" i="5"/>
  <c r="P37" i="5" s="1"/>
  <c r="S30" i="5" s="1"/>
  <c r="X34" i="5"/>
  <c r="P38" i="5"/>
  <c r="S31" i="5"/>
  <c r="U31" i="5" s="1"/>
  <c r="S32" i="5"/>
  <c r="U32" i="5" s="1"/>
  <c r="U36" i="5"/>
  <c r="N36" i="5"/>
  <c r="T32" i="5"/>
  <c r="L8" i="5"/>
  <c r="L15" i="5"/>
  <c r="H13" i="5"/>
  <c r="N15" i="5"/>
  <c r="M15" i="5"/>
  <c r="N8" i="5"/>
  <c r="M8" i="5"/>
  <c r="G13" i="5"/>
  <c r="U30" i="5" l="1"/>
  <c r="T30" i="5"/>
  <c r="T36" i="5"/>
  <c r="T31" i="5"/>
  <c r="AA35" i="5"/>
  <c r="AB35" i="5"/>
  <c r="AC35" i="5"/>
  <c r="AF35" i="5"/>
  <c r="S36" i="5"/>
  <c r="P36" i="5"/>
  <c r="Q36" i="5" s="1"/>
  <c r="R36" i="5" s="1"/>
</calcChain>
</file>

<file path=xl/sharedStrings.xml><?xml version="1.0" encoding="utf-8"?>
<sst xmlns="http://schemas.openxmlformats.org/spreadsheetml/2006/main" count="139" uniqueCount="88">
  <si>
    <t xml:space="preserve">MEDIA </t>
  </si>
  <si>
    <t>MEDIANA</t>
  </si>
  <si>
    <t>MÁXIMO</t>
  </si>
  <si>
    <t>MÍNIMO</t>
  </si>
  <si>
    <t>DESVIACION ESTÁNDAR</t>
  </si>
  <si>
    <t>COEFICIENTE DE VARIACION</t>
  </si>
  <si>
    <t>OBJETIVOS:</t>
  </si>
  <si>
    <t>Objetivo General</t>
  </si>
  <si>
    <r>
      <t>●</t>
    </r>
    <r>
      <rPr>
        <sz val="7"/>
        <color rgb="FF000000"/>
        <rFont val="Times New Roman"/>
        <family val="1"/>
      </rPr>
      <t xml:space="preserve">       </t>
    </r>
    <r>
      <rPr>
        <sz val="12"/>
        <color rgb="FF000000"/>
        <rFont val="Arial"/>
        <family val="2"/>
      </rPr>
      <t>Determinar las diferencias existentes de la resistencia compresiva en restauraciones de corona completa en molares inferiores elaboradas en Zirconio tipo IV de diferentes casas comerciales SAGEMAX, VITA Y DENTSPLY.</t>
    </r>
  </si>
  <si>
    <r>
      <t>Objetivos Específicos.</t>
    </r>
    <r>
      <rPr>
        <sz val="12"/>
        <color rgb="FF000000"/>
        <rFont val="Arial"/>
        <family val="2"/>
      </rPr>
      <t>.</t>
    </r>
  </si>
  <si>
    <r>
      <t>●</t>
    </r>
    <r>
      <rPr>
        <sz val="7"/>
        <color rgb="FF000000"/>
        <rFont val="Times New Roman"/>
        <family val="1"/>
      </rPr>
      <t xml:space="preserve">     </t>
    </r>
    <r>
      <rPr>
        <sz val="12"/>
        <color rgb="FF000000"/>
        <rFont val="Arial"/>
        <family val="2"/>
      </rPr>
      <t>Identificar la resistencia compresiva de las restauraciones de corona completa en molares inferiores del zirconio tipo IV de la casa comercial SAGEMAX mediante el uso de una maquina universal de pruebas Instrom.</t>
    </r>
  </si>
  <si>
    <r>
      <t>●</t>
    </r>
    <r>
      <rPr>
        <sz val="7"/>
        <color rgb="FF000000"/>
        <rFont val="Times New Roman"/>
        <family val="1"/>
      </rPr>
      <t xml:space="preserve">     </t>
    </r>
    <r>
      <rPr>
        <sz val="12"/>
        <color rgb="FF000000"/>
        <rFont val="Arial"/>
        <family val="2"/>
      </rPr>
      <t>Identificar la resistencia compresiva de las restauraciones de corona completa en molares inferiores del zirconio tipo IV de la casa comercial VITA mediante el uso de una maquina universal de pruebas instrom.</t>
    </r>
  </si>
  <si>
    <r>
      <t>●</t>
    </r>
    <r>
      <rPr>
        <sz val="7"/>
        <color rgb="FF000000"/>
        <rFont val="Times New Roman"/>
        <family val="1"/>
      </rPr>
      <t xml:space="preserve">     </t>
    </r>
    <r>
      <rPr>
        <sz val="12"/>
        <color rgb="FF000000"/>
        <rFont val="Arial"/>
        <family val="2"/>
      </rPr>
      <t>Identificar la resistencia compresiva de las restauraciones de corona completa en molares inferiores del zirconio tipo IV de la casa comercial DENTSPLY mediante el uso de una maquina universal de pruebas instrom.</t>
    </r>
  </si>
  <si>
    <r>
      <t>●</t>
    </r>
    <r>
      <rPr>
        <sz val="7"/>
        <color rgb="FF000000"/>
        <rFont val="Times New Roman"/>
        <family val="1"/>
      </rPr>
      <t xml:space="preserve">     </t>
    </r>
    <r>
      <rPr>
        <sz val="12"/>
        <color rgb="FF000000"/>
        <rFont val="Arial"/>
        <family val="2"/>
      </rPr>
      <t>Comparar la resistencia compresiva de las 3 casas comerciales SAGEMAX, VITA Y DENTSPLY mediante el uso de una maquina universal de pruebas instrom.</t>
    </r>
  </si>
  <si>
    <t>CERCON CARGA (N)</t>
  </si>
  <si>
    <t>SAGEMAX CARGA (N)</t>
  </si>
  <si>
    <t>VITA CARGA (N)</t>
  </si>
  <si>
    <t>PRUEBA</t>
  </si>
  <si>
    <t>OBJETIVO</t>
  </si>
  <si>
    <t>ANALISIS EXPLORATORIO DE DATOS</t>
  </si>
  <si>
    <t>DESCRIBIR LA MUESTRA</t>
  </si>
  <si>
    <t>n</t>
  </si>
  <si>
    <t>dÁgostino</t>
  </si>
  <si>
    <t>Deterrminar si los datso presentan distribución Normal</t>
  </si>
  <si>
    <t>Mean</t>
  </si>
  <si>
    <t>ANOVA</t>
  </si>
  <si>
    <t>Comparar la resistencia de las 3 casas</t>
  </si>
  <si>
    <t>Standard Error</t>
  </si>
  <si>
    <t>Software: Real Statitististics V9 de Feb 2024</t>
  </si>
  <si>
    <t>Median</t>
  </si>
  <si>
    <t>Maximum</t>
  </si>
  <si>
    <t>Minimum</t>
  </si>
  <si>
    <t>IQR</t>
  </si>
  <si>
    <t>p-value</t>
  </si>
  <si>
    <t>ANOVA: Single Factor</t>
  </si>
  <si>
    <t>anailiis: no hay diferencaoi en la resietncai de las 3 casas</t>
  </si>
  <si>
    <t>Descriptive Statistics</t>
  </si>
  <si>
    <t>Mode</t>
  </si>
  <si>
    <t>Standard Deviation</t>
  </si>
  <si>
    <t>Sample Variance</t>
  </si>
  <si>
    <t>Kurtosis</t>
  </si>
  <si>
    <t>Skewness</t>
  </si>
  <si>
    <t>Range</t>
  </si>
  <si>
    <t>Sum</t>
  </si>
  <si>
    <t>Count</t>
  </si>
  <si>
    <t>Geometric Mean</t>
  </si>
  <si>
    <t>Harmonic Mean</t>
  </si>
  <si>
    <t>AAD</t>
  </si>
  <si>
    <t>MAD</t>
  </si>
  <si>
    <t>Shapiro-Wilk Test</t>
  </si>
  <si>
    <t>W-stat</t>
  </si>
  <si>
    <t>alpha</t>
  </si>
  <si>
    <t>normal</t>
  </si>
  <si>
    <t>d'Agostino-Pearson</t>
  </si>
  <si>
    <t>DA-stat</t>
  </si>
  <si>
    <t>DESCRIPTION</t>
  </si>
  <si>
    <t>Alpha</t>
  </si>
  <si>
    <t>Group</t>
  </si>
  <si>
    <t>Variance</t>
  </si>
  <si>
    <t>SS</t>
  </si>
  <si>
    <t>Std Err</t>
  </si>
  <si>
    <t>Lower</t>
  </si>
  <si>
    <t>Upper</t>
  </si>
  <si>
    <t>Sources</t>
  </si>
  <si>
    <t>df</t>
  </si>
  <si>
    <t>MS</t>
  </si>
  <si>
    <t>F</t>
  </si>
  <si>
    <t>P value</t>
  </si>
  <si>
    <t>Eta-sq</t>
  </si>
  <si>
    <t>RMSSE</t>
  </si>
  <si>
    <t>Omega Sq</t>
  </si>
  <si>
    <t>Between Groups</t>
  </si>
  <si>
    <t>Within Groups</t>
  </si>
  <si>
    <t>Total</t>
  </si>
  <si>
    <t>TUKEY HSD/KRAMER</t>
  </si>
  <si>
    <t>group</t>
  </si>
  <si>
    <t>mean</t>
  </si>
  <si>
    <t>ss</t>
  </si>
  <si>
    <t>q-crit</t>
  </si>
  <si>
    <t>Q TEST</t>
  </si>
  <si>
    <t>group 1</t>
  </si>
  <si>
    <t>group 2</t>
  </si>
  <si>
    <t>std err</t>
  </si>
  <si>
    <t>q-stat</t>
  </si>
  <si>
    <t>lower</t>
  </si>
  <si>
    <t>upper</t>
  </si>
  <si>
    <t>mean-crit</t>
  </si>
  <si>
    <t>Cohen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</si>
</sst>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0.00000"/>
  </numFmts>
  <fonts count="9">
    <font>
      <sz val="11"/>
      <color theme="1"/>
      <name val="Calibri"/>
      <family val="2"/>
      <scheme val="minor"/>
    </font>
    <font>
      <b/>
      <sz val="11"/>
      <color theme="1"/>
      <name val="Calibri"/>
      <family val="2"/>
      <scheme val="minor"/>
    </font>
    <font>
      <b/>
      <sz val="11"/>
      <color rgb="FFFF0000"/>
      <name val="Calibri"/>
      <family val="2"/>
      <scheme val="minor"/>
    </font>
    <font>
      <sz val="16"/>
      <color rgb="FFFF0000"/>
      <name val="Calibri"/>
      <family val="2"/>
      <scheme val="minor"/>
    </font>
    <font>
      <b/>
      <sz val="12"/>
      <color rgb="FF000000"/>
      <name val="Arial"/>
      <family val="2"/>
    </font>
    <font>
      <sz val="12"/>
      <color rgb="FF000000"/>
      <name val="Arial"/>
      <family val="2"/>
    </font>
    <font>
      <sz val="12"/>
      <color rgb="FF000000"/>
      <name val="Noto Sans Symbols"/>
    </font>
    <font>
      <sz val="7"/>
      <color rgb="FF000000"/>
      <name val="Times New Roman"/>
      <family val="1"/>
    </font>
    <font>
      <i/>
      <sz val="11"/>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3" tint="0.89999084444715716"/>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double">
        <color indexed="64"/>
      </top>
      <bottom style="thin">
        <color indexed="64"/>
      </bottom>
      <diagonal/>
    </border>
  </borders>
  <cellStyleXfs count="1">
    <xf numFmtId="0" fontId="0" fillId="0" borderId="0"/>
  </cellStyleXfs>
  <cellXfs count="20">
    <xf numFmtId="0" fontId="0" fillId="0" borderId="0" xfId="0"/>
    <xf numFmtId="0" fontId="1" fillId="2" borderId="0" xfId="0" applyFont="1" applyFill="1"/>
    <xf numFmtId="0" fontId="0" fillId="2" borderId="0" xfId="0" applyFill="1"/>
    <xf numFmtId="0" fontId="2" fillId="0" borderId="0" xfId="0" applyFont="1"/>
    <xf numFmtId="0" fontId="1" fillId="0" borderId="0" xfId="0" applyFont="1" applyAlignment="1">
      <alignment horizontal="left"/>
    </xf>
    <xf numFmtId="0" fontId="3" fillId="0" borderId="0" xfId="0" applyFont="1" applyAlignment="1">
      <alignment horizontal="center" vertical="center"/>
    </xf>
    <xf numFmtId="0" fontId="4" fillId="0" borderId="0" xfId="0" applyFont="1" applyAlignment="1">
      <alignment horizontal="justify" vertical="center"/>
    </xf>
    <xf numFmtId="0" fontId="6" fillId="0" borderId="0" xfId="0" applyFont="1" applyAlignment="1">
      <alignment horizontal="justify" vertical="center"/>
    </xf>
    <xf numFmtId="0" fontId="0" fillId="3" borderId="1" xfId="0" applyFill="1" applyBorder="1"/>
    <xf numFmtId="0" fontId="0" fillId="3" borderId="1" xfId="0" applyFill="1" applyBorder="1" applyAlignment="1">
      <alignment horizontal="center" wrapText="1"/>
    </xf>
    <xf numFmtId="0" fontId="0" fillId="0" borderId="1" xfId="0" applyBorder="1"/>
    <xf numFmtId="164" fontId="0" fillId="0" borderId="1" xfId="0" applyNumberFormat="1" applyBorder="1"/>
    <xf numFmtId="165" fontId="0" fillId="0" borderId="1" xfId="0" applyNumberFormat="1" applyBorder="1"/>
    <xf numFmtId="0" fontId="1" fillId="4" borderId="0" xfId="0" applyFont="1" applyFill="1"/>
    <xf numFmtId="0" fontId="0" fillId="0" borderId="2" xfId="0" applyBorder="1"/>
    <xf numFmtId="0" fontId="8" fillId="0" borderId="2" xfId="0" applyFont="1" applyBorder="1" applyAlignment="1">
      <alignment horizontal="center"/>
    </xf>
    <xf numFmtId="0" fontId="0" fillId="0" borderId="2" xfId="0" applyBorder="1" applyAlignment="1">
      <alignment horizontal="right"/>
    </xf>
    <xf numFmtId="0" fontId="0" fillId="0" borderId="3" xfId="0" applyBorder="1"/>
    <xf numFmtId="0" fontId="8" fillId="0" borderId="4" xfId="0" applyFont="1" applyBorder="1" applyAlignment="1">
      <alignment horizontal="center"/>
    </xf>
    <xf numFmtId="0" fontId="0" fillId="0" borderId="0" xfId="0" applyBorder="1"/>
  </cellXfs>
  <cellStyles count="1">
    <cellStyle name="Normal" xfId="0" builtinId="0"/>
  </cellStyles>
  <dxfs count="0"/>
  <tableStyles count="1" defaultTableStyle="TableStyleMedium2" defaultPivotStyle="PivotStyleLight16">
    <tableStyle name="Invisible" pivot="0" table="0" count="0" xr9:uid="{5C82C72D-3500-4C97-957B-8D6035E2FCD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numDim type="val">
        <cx:f>_xlchart.v1.1</cx:f>
      </cx:numDim>
    </cx:data>
    <cx:data id="1">
      <cx:numDim type="val">
        <cx:f>_xlchart.v1.3</cx:f>
      </cx:numDim>
    </cx:data>
    <cx:data id="2">
      <cx:numDim type="val">
        <cx:f>_xlchart.v1.5</cx:f>
      </cx:numDim>
    </cx:data>
  </cx:chartData>
  <cx:chart>
    <cx:title pos="t" align="ctr" overlay="0">
      <cx:tx>
        <cx:rich>
          <a:bodyPr spcFirstLastPara="1" vertOverflow="ellipsis" horzOverflow="overflow" wrap="square" lIns="0" tIns="0" rIns="0" bIns="0" anchor="ctr" anchorCtr="1"/>
          <a:lstStyle/>
          <a:p>
            <a:pPr rtl="0" eaLnBrk="1" fontAlgn="auto" latinLnBrk="0" hangingPunct="1"/>
            <a:r>
              <a:rPr lang="es-MX" sz="1200" b="1" i="0" baseline="0">
                <a:effectLst/>
              </a:rPr>
              <a:t>COMPARACIÓN DE LA RESISTENCIA </a:t>
            </a:r>
            <a:r>
              <a:rPr lang="es-CO" sz="1200" b="1" i="0" baseline="0">
                <a:effectLst/>
              </a:rPr>
              <a:t>COMPRESIVA(N) </a:t>
            </a:r>
            <a:r>
              <a:rPr lang="es-MX" sz="1200" b="1" i="0" baseline="0">
                <a:effectLst/>
              </a:rPr>
              <a:t> DE </a:t>
            </a:r>
            <a:r>
              <a:rPr lang="es-CO" sz="1200" b="1" i="0" baseline="0">
                <a:effectLst/>
              </a:rPr>
              <a:t>CORONAS</a:t>
            </a:r>
            <a:r>
              <a:rPr lang="es-MX" sz="1200" b="1" i="0" baseline="0">
                <a:effectLst/>
              </a:rPr>
              <a:t> DE ZIRCONIO TIPO IV (4Y-TPZ) ENTRE TRES CASAS COMERCIALES CON UNA MÁQUINA DE ENSAYOS MECÁNICOS UNIVERSALES</a:t>
            </a:r>
            <a:endParaRPr lang="es-CO" sz="1200">
              <a:effectLst/>
            </a:endParaRPr>
          </a:p>
        </cx:rich>
      </cx:tx>
    </cx:title>
    <cx:plotArea>
      <cx:plotAreaRegion>
        <cx:series layoutId="boxWhisker" uniqueId="{719D6321-A78C-4142-B47F-382D28C61699}">
          <cx:tx>
            <cx:txData>
              <cx:f>_xlchart.v1.0</cx:f>
              <cx:v>CERCON CARGA (N)</cx:v>
            </cx:txData>
          </cx:tx>
          <cx:dataId val="0"/>
          <cx:layoutPr>
            <cx:visibility meanLine="0" meanMarker="1" nonoutliers="0" outliers="1"/>
            <cx:statistics quartileMethod="exclusive"/>
          </cx:layoutPr>
        </cx:series>
        <cx:series layoutId="boxWhisker" uniqueId="{6DD0EA03-34E3-4EAB-B91F-8819A6452C62}">
          <cx:tx>
            <cx:txData>
              <cx:f>_xlchart.v1.2</cx:f>
              <cx:v>SAGEMAX CARGA (N)</cx:v>
            </cx:txData>
          </cx:tx>
          <cx:dataId val="1"/>
          <cx:layoutPr>
            <cx:visibility meanLine="0" meanMarker="1" nonoutliers="0" outliers="1"/>
            <cx:statistics quartileMethod="exclusive"/>
          </cx:layoutPr>
        </cx:series>
        <cx:series layoutId="boxWhisker" uniqueId="{F12CB31F-C040-4626-9876-13FFC06F786E}">
          <cx:tx>
            <cx:txData>
              <cx:f>_xlchart.v1.4</cx:f>
              <cx:v>VITA CARGA (N)</cx:v>
            </cx:txData>
          </cx:tx>
          <cx:dataId val="2"/>
          <cx:layoutPr>
            <cx:visibility meanLine="0" meanMarker="1" nonoutliers="0" outliers="1"/>
            <cx:statistics quartileMethod="exclusive"/>
          </cx:layoutPr>
        </cx:series>
      </cx:plotAreaRegion>
      <cx:axis id="0" hidden="1">
        <cx:catScaling gapWidth="1"/>
        <cx:tickLabels/>
      </cx:axis>
      <cx:axis id="1">
        <cx:valScaling max="2200" min="800"/>
        <cx:title>
          <cx:tx>
            <cx:txData>
              <cx:v>CARGA N</cx:v>
            </cx:txData>
          </cx:tx>
          <cx:txPr>
            <a:bodyPr spcFirstLastPara="1" vertOverflow="ellipsis" horzOverflow="overflow" wrap="square" lIns="0" tIns="0" rIns="0" bIns="0" anchor="ctr" anchorCtr="1"/>
            <a:lstStyle/>
            <a:p>
              <a:pPr algn="ctr" rtl="0">
                <a:defRPr/>
              </a:pPr>
              <a:r>
                <a:rPr lang="es-ES" sz="900" b="0" i="0" u="none" strike="noStrike" baseline="0">
                  <a:solidFill>
                    <a:sysClr val="windowText" lastClr="000000">
                      <a:lumMod val="65000"/>
                      <a:lumOff val="35000"/>
                    </a:sysClr>
                  </a:solidFill>
                  <a:latin typeface="Calibri" panose="020F0502020204030204"/>
                </a:rPr>
                <a:t>CARGA N</a:t>
              </a:r>
            </a:p>
          </cx:txPr>
        </cx:title>
        <cx:majorGridlines/>
        <cx:tickLabels/>
      </cx:axis>
    </cx:plotArea>
    <cx:legend pos="t" align="ctr" overlay="0"/>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xdr:from>
      <xdr:col>9</xdr:col>
      <xdr:colOff>228600</xdr:colOff>
      <xdr:row>0</xdr:row>
      <xdr:rowOff>0</xdr:rowOff>
    </xdr:from>
    <xdr:to>
      <xdr:col>15</xdr:col>
      <xdr:colOff>228600</xdr:colOff>
      <xdr:row>17</xdr:row>
      <xdr:rowOff>19050</xdr:rowOff>
    </xdr:to>
    <mc:AlternateContent xmlns:mc="http://schemas.openxmlformats.org/markup-compatibility/2006">
      <mc:Choice xmlns:cx1="http://schemas.microsoft.com/office/drawing/2015/9/8/chartex" Requires="cx1">
        <xdr:graphicFrame macro="">
          <xdr:nvGraphicFramePr>
            <xdr:cNvPr id="3" name="Gráfico 2">
              <a:extLst>
                <a:ext uri="{FF2B5EF4-FFF2-40B4-BE49-F238E27FC236}">
                  <a16:creationId xmlns:a16="http://schemas.microsoft.com/office/drawing/2014/main" id="{11A7A00B-B472-4F00-9F06-EFA354CB89D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1125200" y="0"/>
              <a:ext cx="4572000" cy="3448050"/>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namericana/AppData/Roaming/Microsoft/Complementos/XRealStats.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
      <sheetName val="Wilcoxon Table"/>
      <sheetName val="Mann Table"/>
      <sheetName val="Runs Table"/>
      <sheetName val="KS Table"/>
      <sheetName val="KS2 Table"/>
      <sheetName val="Lil Table"/>
      <sheetName val="AD Table"/>
      <sheetName val="AD2 Table"/>
      <sheetName val="SW Table"/>
      <sheetName val="Stud. Q Table"/>
      <sheetName val="Stud. Q Table 2"/>
      <sheetName val="Sp Rho Table"/>
      <sheetName val="Ken Tau Table"/>
      <sheetName val="Durbin Table"/>
      <sheetName val="Dunnett Table"/>
      <sheetName val="Dunnett 1"/>
      <sheetName val="Kendall Tc"/>
      <sheetName val="Kendall u"/>
      <sheetName val="Page Table"/>
      <sheetName val="Prime"/>
      <sheetName val="MSSD"/>
      <sheetName val="Dict"/>
      <sheetName val="ADict"/>
      <sheetName val="XRealStats"/>
    </sheetNames>
    <definedNames>
      <definedName name="DAGOSTINO"/>
      <definedName name="DPTEST"/>
      <definedName name="IQR"/>
      <definedName name="MAD"/>
      <definedName name="QCRIT"/>
      <definedName name="QDIST"/>
      <definedName name="SHAPIRO"/>
      <definedName name="SWTEST"/>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2FE31-1A62-40E2-B4EB-F8EE87E2FCB0}">
  <dimension ref="A1:H12"/>
  <sheetViews>
    <sheetView topLeftCell="A7" zoomScale="115" zoomScaleNormal="115" workbookViewId="0">
      <selection activeCell="G12" sqref="G12"/>
    </sheetView>
  </sheetViews>
  <sheetFormatPr baseColWidth="10" defaultRowHeight="15"/>
  <cols>
    <col min="1" max="1" width="39.28515625" bestFit="1" customWidth="1"/>
    <col min="2" max="2" width="1.28515625" customWidth="1"/>
    <col min="3" max="3" width="50.7109375" bestFit="1" customWidth="1"/>
    <col min="4" max="4" width="6.5703125" customWidth="1"/>
    <col min="5" max="5" width="19.85546875" bestFit="1" customWidth="1"/>
  </cols>
  <sheetData>
    <row r="1" spans="1:8" ht="30">
      <c r="A1" t="s">
        <v>17</v>
      </c>
      <c r="C1" t="s">
        <v>18</v>
      </c>
      <c r="E1" s="8"/>
      <c r="F1" s="9" t="s">
        <v>14</v>
      </c>
      <c r="G1" s="9" t="s">
        <v>15</v>
      </c>
      <c r="H1" s="9" t="s">
        <v>16</v>
      </c>
    </row>
    <row r="2" spans="1:8">
      <c r="A2" t="s">
        <v>19</v>
      </c>
      <c r="C2" t="s">
        <v>20</v>
      </c>
      <c r="E2" s="10" t="s">
        <v>21</v>
      </c>
      <c r="F2" s="10">
        <v>16</v>
      </c>
      <c r="G2" s="10">
        <v>16</v>
      </c>
      <c r="H2" s="10">
        <v>16</v>
      </c>
    </row>
    <row r="3" spans="1:8">
      <c r="A3" t="s">
        <v>22</v>
      </c>
      <c r="C3" t="s">
        <v>23</v>
      </c>
      <c r="E3" s="10" t="s">
        <v>24</v>
      </c>
      <c r="F3" s="11">
        <v>1418.5833356250002</v>
      </c>
      <c r="G3" s="11">
        <v>1399.9993637499999</v>
      </c>
      <c r="H3" s="11">
        <v>1312.6919937499999</v>
      </c>
    </row>
    <row r="4" spans="1:8">
      <c r="A4" t="s">
        <v>25</v>
      </c>
      <c r="C4" t="s">
        <v>26</v>
      </c>
      <c r="E4" s="10" t="s">
        <v>27</v>
      </c>
      <c r="F4" s="11">
        <v>48.354818825666271</v>
      </c>
      <c r="G4" s="11">
        <v>71.254913863974636</v>
      </c>
      <c r="H4" s="11">
        <v>46.969032980820728</v>
      </c>
    </row>
    <row r="5" spans="1:8">
      <c r="A5" t="s">
        <v>28</v>
      </c>
      <c r="E5" s="10" t="s">
        <v>29</v>
      </c>
      <c r="F5" s="11">
        <v>1382.8463099999999</v>
      </c>
      <c r="G5" s="11">
        <v>1385.1558850000001</v>
      </c>
      <c r="H5" s="11">
        <v>1346.779295</v>
      </c>
    </row>
    <row r="6" spans="1:8">
      <c r="E6" s="10" t="s">
        <v>30</v>
      </c>
      <c r="F6" s="11">
        <v>1793.51794</v>
      </c>
      <c r="G6" s="11">
        <v>1960.4296899999999</v>
      </c>
      <c r="H6" s="11">
        <v>1552.5646999999999</v>
      </c>
    </row>
    <row r="7" spans="1:8">
      <c r="E7" s="10" t="s">
        <v>31</v>
      </c>
      <c r="F7" s="11">
        <v>1129.04871</v>
      </c>
      <c r="G7" s="11">
        <v>889.07123000000001</v>
      </c>
      <c r="H7" s="11">
        <v>1019.5521199999999</v>
      </c>
    </row>
    <row r="8" spans="1:8">
      <c r="E8" s="10" t="s">
        <v>32</v>
      </c>
      <c r="F8" s="11">
        <v>197.53842499999996</v>
      </c>
      <c r="G8" s="11">
        <v>420.46365250000008</v>
      </c>
      <c r="H8" s="11">
        <v>268.42438249999987</v>
      </c>
    </row>
    <row r="9" spans="1:8">
      <c r="E9" s="10" t="s">
        <v>33</v>
      </c>
      <c r="F9" s="11">
        <v>0.22981025360255247</v>
      </c>
      <c r="G9" s="11">
        <v>0.95275833497725915</v>
      </c>
      <c r="H9" s="11">
        <v>6.3127543655128182E-2</v>
      </c>
    </row>
    <row r="10" spans="1:8">
      <c r="E10" s="10" t="s">
        <v>34</v>
      </c>
      <c r="F10" s="12">
        <v>0.37707101540667298</v>
      </c>
      <c r="G10" s="10"/>
      <c r="H10" s="10"/>
    </row>
    <row r="12" spans="1:8">
      <c r="E12" s="13" t="s">
        <v>35</v>
      </c>
      <c r="F12" s="13"/>
      <c r="G12" s="13"/>
      <c r="H12" s="1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F6AA4-C837-46C9-9BBC-3E36DC8495FD}">
  <dimension ref="A1:AF38"/>
  <sheetViews>
    <sheetView tabSelected="1" topLeftCell="M25" workbookViewId="0">
      <selection activeCell="F9" sqref="F9"/>
    </sheetView>
  </sheetViews>
  <sheetFormatPr baseColWidth="10" defaultRowHeight="15"/>
  <cols>
    <col min="1" max="1" width="24.7109375" customWidth="1"/>
    <col min="2" max="2" width="19" customWidth="1"/>
    <col min="8" max="8" width="14.85546875" customWidth="1"/>
    <col min="9" max="9" width="17.5703125" customWidth="1"/>
  </cols>
  <sheetData>
    <row r="1" spans="1:14" ht="23.25" customHeight="1">
      <c r="B1" s="3" t="s">
        <v>14</v>
      </c>
      <c r="C1" s="3" t="s">
        <v>15</v>
      </c>
      <c r="D1" s="3" t="s">
        <v>16</v>
      </c>
    </row>
    <row r="2" spans="1:14">
      <c r="A2" s="4">
        <v>1</v>
      </c>
      <c r="B2">
        <v>1459.8419200000001</v>
      </c>
      <c r="C2">
        <v>1279.9377400000001</v>
      </c>
      <c r="D2">
        <v>1250.9122299999999</v>
      </c>
      <c r="F2" t="s">
        <v>36</v>
      </c>
      <c r="K2" t="s">
        <v>49</v>
      </c>
    </row>
    <row r="3" spans="1:14">
      <c r="A3" s="4">
        <v>2</v>
      </c>
      <c r="B3">
        <v>1129.04871</v>
      </c>
      <c r="C3">
        <v>1238.06934</v>
      </c>
      <c r="D3">
        <v>1522.88977</v>
      </c>
    </row>
    <row r="4" spans="1:14">
      <c r="A4" s="4">
        <v>3</v>
      </c>
      <c r="B4">
        <v>1476.90894</v>
      </c>
      <c r="C4">
        <v>1211.1478300000001</v>
      </c>
      <c r="D4">
        <v>1266.2282700000001</v>
      </c>
      <c r="F4" s="15"/>
      <c r="G4" s="15" t="str">
        <f>B1</f>
        <v>CERCON CARGA (N)</v>
      </c>
      <c r="H4" s="15" t="str">
        <f>C1</f>
        <v>SAGEMAX CARGA (N)</v>
      </c>
      <c r="I4" s="15" t="str">
        <f>D1</f>
        <v>VITA CARGA (N)</v>
      </c>
      <c r="K4" s="15"/>
      <c r="L4" s="15" t="str">
        <f>B1</f>
        <v>CERCON CARGA (N)</v>
      </c>
      <c r="M4" s="15" t="str">
        <f>C1</f>
        <v>SAGEMAX CARGA (N)</v>
      </c>
      <c r="N4" s="15" t="str">
        <f>D1</f>
        <v>VITA CARGA (N)</v>
      </c>
    </row>
    <row r="5" spans="1:14">
      <c r="A5" s="4">
        <v>4</v>
      </c>
      <c r="B5">
        <v>1212.3089600000001</v>
      </c>
      <c r="C5">
        <v>1014.73352</v>
      </c>
      <c r="D5">
        <v>1473.85706</v>
      </c>
      <c r="F5" t="s">
        <v>24</v>
      </c>
      <c r="G5">
        <f>AVERAGE(B2:B17)</f>
        <v>1418.5833356250002</v>
      </c>
      <c r="H5">
        <f>AVERAGE(C2:C17)</f>
        <v>1399.9993637499999</v>
      </c>
      <c r="I5">
        <f>AVERAGE(D2:D17)</f>
        <v>1312.6919937499999</v>
      </c>
      <c r="K5" t="s">
        <v>50</v>
      </c>
      <c r="L5" t="e">
        <f ca="1">[1]!SHAPIRO(B2:B17)</f>
        <v>#NAME?</v>
      </c>
      <c r="M5" t="e">
        <f ca="1">[1]!SHAPIRO(C2:C17)</f>
        <v>#NAME?</v>
      </c>
      <c r="N5" t="e">
        <f ca="1">[1]!SHAPIRO(D2:D17)</f>
        <v>#NAME?</v>
      </c>
    </row>
    <row r="6" spans="1:14">
      <c r="A6" s="4">
        <v>5</v>
      </c>
      <c r="B6">
        <v>1647.2546400000001</v>
      </c>
      <c r="C6">
        <v>1359.51782</v>
      </c>
      <c r="D6">
        <v>1353.41992</v>
      </c>
      <c r="F6" t="s">
        <v>27</v>
      </c>
      <c r="G6">
        <f>_xlfn.STDEV.S(B2:B17)/SQRT(COUNT(B2:B17))</f>
        <v>48.354818825666271</v>
      </c>
      <c r="H6">
        <f>_xlfn.STDEV.S(C2:C17)/SQRT(COUNT(C2:C17))</f>
        <v>71.254913863974636</v>
      </c>
      <c r="I6">
        <f>_xlfn.STDEV.S(D2:D17)/SQRT(COUNT(D2:D17))</f>
        <v>46.969032980820728</v>
      </c>
      <c r="K6" t="s">
        <v>33</v>
      </c>
      <c r="L6" t="e">
        <f ca="1">[1]!SWTEST(B2:B17)</f>
        <v>#NAME?</v>
      </c>
      <c r="M6" t="e">
        <f ca="1">[1]!SWTEST(C2:C17)</f>
        <v>#NAME?</v>
      </c>
      <c r="N6" t="e">
        <f ca="1">[1]!SWTEST(D2:D17)</f>
        <v>#NAME?</v>
      </c>
    </row>
    <row r="7" spans="1:14">
      <c r="A7" s="4">
        <v>6</v>
      </c>
      <c r="B7">
        <v>1457.52539</v>
      </c>
      <c r="C7">
        <v>889.07123000000001</v>
      </c>
      <c r="D7">
        <v>1424.20264</v>
      </c>
      <c r="F7" t="s">
        <v>29</v>
      </c>
      <c r="G7">
        <f>MEDIAN(B2:B17)</f>
        <v>1382.8463099999999</v>
      </c>
      <c r="H7">
        <f>MEDIAN(C2:C17)</f>
        <v>1385.1558850000001</v>
      </c>
      <c r="I7">
        <f>MEDIAN(D2:D17)</f>
        <v>1346.779295</v>
      </c>
      <c r="K7" t="s">
        <v>51</v>
      </c>
      <c r="L7">
        <v>0.05</v>
      </c>
      <c r="M7">
        <v>0.05</v>
      </c>
      <c r="N7">
        <v>0.05</v>
      </c>
    </row>
    <row r="8" spans="1:14">
      <c r="A8" s="4">
        <v>7</v>
      </c>
      <c r="B8">
        <v>1793.51794</v>
      </c>
      <c r="C8">
        <v>1661.03333</v>
      </c>
      <c r="D8">
        <v>1036.7800299999999</v>
      </c>
      <c r="F8" t="s">
        <v>37</v>
      </c>
      <c r="G8">
        <f>MODE(B2:B17)</f>
        <v>1793.51794</v>
      </c>
      <c r="H8" t="e">
        <f>MODE(C2:C17)</f>
        <v>#N/A</v>
      </c>
      <c r="I8" t="e">
        <f>MODE(D2:D17)</f>
        <v>#N/A</v>
      </c>
      <c r="K8" s="14" t="s">
        <v>52</v>
      </c>
      <c r="L8" s="16" t="e">
        <f ca="1">IF(L6&lt;L7,"no","yes")</f>
        <v>#NAME?</v>
      </c>
      <c r="M8" s="16" t="e">
        <f ca="1">IF(M6&lt;M7,"no","yes")</f>
        <v>#NAME?</v>
      </c>
      <c r="N8" s="16" t="e">
        <f ca="1">IF(N6&lt;N7,"no","yes")</f>
        <v>#NAME?</v>
      </c>
    </row>
    <row r="9" spans="1:14">
      <c r="A9" s="4">
        <v>8</v>
      </c>
      <c r="B9">
        <v>1793.51794</v>
      </c>
      <c r="C9">
        <v>1696.5430899999999</v>
      </c>
      <c r="D9">
        <v>1552.5646999999999</v>
      </c>
      <c r="F9" t="s">
        <v>38</v>
      </c>
      <c r="G9">
        <f>_xlfn.STDEV.S(B2:B17)</f>
        <v>193.41927530266508</v>
      </c>
      <c r="H9">
        <f>_xlfn.STDEV.S(C2:C17)</f>
        <v>285.01965545589854</v>
      </c>
      <c r="I9">
        <f>_xlfn.STDEV.S(D2:D17)</f>
        <v>187.87613192328291</v>
      </c>
    </row>
    <row r="10" spans="1:14">
      <c r="A10" s="4">
        <v>9</v>
      </c>
      <c r="B10">
        <v>1252.6709000000001</v>
      </c>
      <c r="C10">
        <v>1282.80762</v>
      </c>
      <c r="D10">
        <v>1021.54456</v>
      </c>
      <c r="F10" t="s">
        <v>39</v>
      </c>
      <c r="G10">
        <f>_xlfn.VAR.S(B2:B17)</f>
        <v>37411.016058608147</v>
      </c>
      <c r="H10">
        <f>_xlfn.VAR.S(C2:C17)</f>
        <v>81236.203996199125</v>
      </c>
      <c r="I10">
        <f>_xlfn.VAR.S(D2:D17)</f>
        <v>35297.440946454801</v>
      </c>
      <c r="K10" t="s">
        <v>53</v>
      </c>
    </row>
    <row r="11" spans="1:14">
      <c r="A11" s="4">
        <v>10</v>
      </c>
      <c r="B11">
        <v>1362.71948</v>
      </c>
      <c r="C11">
        <v>1960.4296899999999</v>
      </c>
      <c r="D11">
        <v>1505.3908699999999</v>
      </c>
      <c r="F11" t="s">
        <v>40</v>
      </c>
      <c r="G11">
        <f>KURT(B2:B17)</f>
        <v>7.5121861444028326E-2</v>
      </c>
      <c r="H11">
        <f>KURT(C2:C17)</f>
        <v>-0.37386348654083301</v>
      </c>
      <c r="I11">
        <f>KURT(D2:D17)</f>
        <v>-1.1416507182856637</v>
      </c>
    </row>
    <row r="12" spans="1:14">
      <c r="A12" s="4">
        <v>11</v>
      </c>
      <c r="B12">
        <v>1402.9731400000001</v>
      </c>
      <c r="C12">
        <v>1425.7042200000001</v>
      </c>
      <c r="D12">
        <v>1414.8551</v>
      </c>
      <c r="F12" t="s">
        <v>41</v>
      </c>
      <c r="G12">
        <f>SKEW(B2:B17)</f>
        <v>0.75855575144494281</v>
      </c>
      <c r="H12">
        <f>SKEW(C2:C17)</f>
        <v>8.2680168800890214E-2</v>
      </c>
      <c r="I12">
        <f>SKEW(D2:D17)</f>
        <v>-0.50713058185591797</v>
      </c>
      <c r="K12" s="17" t="s">
        <v>54</v>
      </c>
      <c r="L12" s="17" t="e">
        <f ca="1">[1]!DAGOSTINO(B2:B17)</f>
        <v>#NAME?</v>
      </c>
      <c r="M12" s="17" t="e">
        <f ca="1">[1]!DAGOSTINO(C2:C17)</f>
        <v>#NAME?</v>
      </c>
      <c r="N12" s="17" t="e">
        <f ca="1">[1]!DAGOSTINO(D2:D17)</f>
        <v>#NAME?</v>
      </c>
    </row>
    <row r="13" spans="1:14">
      <c r="A13" s="4">
        <v>12</v>
      </c>
      <c r="B13">
        <v>1331.0671400000001</v>
      </c>
      <c r="C13">
        <v>1410.79395</v>
      </c>
      <c r="D13">
        <v>1475.58069</v>
      </c>
      <c r="F13" t="s">
        <v>42</v>
      </c>
      <c r="G13">
        <f>G14-G15</f>
        <v>664.46922999999992</v>
      </c>
      <c r="H13">
        <f>H14-H15</f>
        <v>1071.3584599999999</v>
      </c>
      <c r="I13">
        <f>I14-I15</f>
        <v>533.01257999999996</v>
      </c>
      <c r="K13" t="s">
        <v>33</v>
      </c>
      <c r="L13" t="e">
        <f ca="1">[1]!DPTEST(B2:B17)</f>
        <v>#NAME?</v>
      </c>
      <c r="M13" t="e">
        <f ca="1">[1]!DPTEST(C2:C17)</f>
        <v>#NAME?</v>
      </c>
      <c r="N13" t="e">
        <f ca="1">[1]!DPTEST(D2:D17)</f>
        <v>#NAME?</v>
      </c>
    </row>
    <row r="14" spans="1:14">
      <c r="A14" s="4">
        <v>13</v>
      </c>
      <c r="B14">
        <v>1244.63086</v>
      </c>
      <c r="C14">
        <v>1561.0915500000001</v>
      </c>
      <c r="D14">
        <v>1274.4376199999999</v>
      </c>
      <c r="F14" t="s">
        <v>30</v>
      </c>
      <c r="G14">
        <f>MAX(B2:B17)</f>
        <v>1793.51794</v>
      </c>
      <c r="H14">
        <f>MAX(C2:C17)</f>
        <v>1960.4296899999999</v>
      </c>
      <c r="I14">
        <f>MAX(D2:D17)</f>
        <v>1552.5646999999999</v>
      </c>
      <c r="K14" t="s">
        <v>51</v>
      </c>
      <c r="L14">
        <v>0.05</v>
      </c>
      <c r="M14">
        <v>0.05</v>
      </c>
      <c r="N14">
        <v>0.05</v>
      </c>
    </row>
    <row r="15" spans="1:14">
      <c r="A15" s="4">
        <v>14</v>
      </c>
      <c r="B15">
        <v>1348.83899</v>
      </c>
      <c r="C15">
        <v>1648.7257099999999</v>
      </c>
      <c r="D15">
        <v>1019.5521199999999</v>
      </c>
      <c r="F15" t="s">
        <v>31</v>
      </c>
      <c r="G15">
        <f>MIN(B2:B17)</f>
        <v>1129.04871</v>
      </c>
      <c r="H15">
        <f>MIN(C2:C17)</f>
        <v>889.07123000000001</v>
      </c>
      <c r="I15">
        <f>MIN(D2:D17)</f>
        <v>1019.5521199999999</v>
      </c>
      <c r="K15" s="14" t="s">
        <v>52</v>
      </c>
      <c r="L15" s="16" t="e">
        <f ca="1">IF(L13&lt;L14,"no","yes")</f>
        <v>#NAME?</v>
      </c>
      <c r="M15" s="16" t="e">
        <f ca="1">IF(M13&lt;M14,"no","yes")</f>
        <v>#NAME?</v>
      </c>
      <c r="N15" s="16" t="e">
        <f ca="1">IF(N13&lt;N14,"no","yes")</f>
        <v>#NAME?</v>
      </c>
    </row>
    <row r="16" spans="1:14">
      <c r="A16" s="4">
        <v>15</v>
      </c>
      <c r="B16">
        <v>1293.10266</v>
      </c>
      <c r="C16">
        <v>1661.1324500000001</v>
      </c>
      <c r="D16">
        <v>1340.13867</v>
      </c>
      <c r="F16" t="s">
        <v>43</v>
      </c>
      <c r="G16">
        <f>SUM(B2:B17)</f>
        <v>22697.333370000004</v>
      </c>
      <c r="H16">
        <f>SUM(C2:C17)</f>
        <v>22399.989819999999</v>
      </c>
      <c r="I16">
        <f>SUM(D2:D17)</f>
        <v>21003.071899999999</v>
      </c>
    </row>
    <row r="17" spans="1:28">
      <c r="A17" s="4">
        <v>16</v>
      </c>
      <c r="B17">
        <v>1491.4057600000001</v>
      </c>
      <c r="C17">
        <v>1099.25073</v>
      </c>
      <c r="D17">
        <v>1070.71765</v>
      </c>
      <c r="F17" t="s">
        <v>44</v>
      </c>
      <c r="G17">
        <f>COUNT(B2:B17)</f>
        <v>16</v>
      </c>
      <c r="H17">
        <f>COUNT(C2:C17)</f>
        <v>16</v>
      </c>
      <c r="I17">
        <f>COUNT(D2:D17)</f>
        <v>16</v>
      </c>
    </row>
    <row r="18" spans="1:28">
      <c r="A18" s="2"/>
      <c r="F18" t="s">
        <v>45</v>
      </c>
      <c r="G18">
        <f>GEOMEAN(B2:B17)</f>
        <v>1406.7551320803875</v>
      </c>
      <c r="H18">
        <f>GEOMEAN(C2:C17)</f>
        <v>1372.0326838873443</v>
      </c>
      <c r="I18">
        <f>GEOMEAN(D2:D17)</f>
        <v>1299.3722869026044</v>
      </c>
    </row>
    <row r="19" spans="1:28">
      <c r="F19" t="s">
        <v>46</v>
      </c>
      <c r="G19">
        <f>HARMEAN(B2:B17)</f>
        <v>1395.4540018611158</v>
      </c>
      <c r="H19">
        <f>HARMEAN(C2:C17)</f>
        <v>1343.3400496134798</v>
      </c>
      <c r="I19">
        <f>HARMEAN(D2:D17)</f>
        <v>1285.4255169497583</v>
      </c>
    </row>
    <row r="20" spans="1:28">
      <c r="F20" t="s">
        <v>47</v>
      </c>
      <c r="G20">
        <f>AVEDEV(B2:B17)</f>
        <v>148.73614757812504</v>
      </c>
      <c r="H20">
        <f>AVEDEV(C2:C17)</f>
        <v>228.18238499999998</v>
      </c>
      <c r="I20">
        <f>AVEDEV(D2:D17)</f>
        <v>156.08393453125001</v>
      </c>
    </row>
    <row r="21" spans="1:28">
      <c r="F21" t="s">
        <v>48</v>
      </c>
      <c r="G21" t="e">
        <f ca="1">[1]!MAD(B2:B17)</f>
        <v>#NAME?</v>
      </c>
      <c r="H21" t="e">
        <f ca="1">[1]!MAD(C2:C17)</f>
        <v>#NAME?</v>
      </c>
      <c r="I21" t="e">
        <f ca="1">[1]!MAD(D2:D17)</f>
        <v>#NAME?</v>
      </c>
    </row>
    <row r="22" spans="1:28">
      <c r="F22" s="14" t="s">
        <v>32</v>
      </c>
      <c r="G22" s="14" t="e">
        <f ca="1">[1]!IQR(B2:B17,FALSE)</f>
        <v>#NAME?</v>
      </c>
      <c r="H22" s="14" t="e">
        <f ca="1">[1]!IQR(C2:C17,FALSE)</f>
        <v>#NAME?</v>
      </c>
      <c r="I22" s="14" t="e">
        <f ca="1">[1]!IQR(D2:D17,FALSE)</f>
        <v>#NAME?</v>
      </c>
    </row>
    <row r="26" spans="1:28" ht="15.75" thickBot="1">
      <c r="G26" t="s">
        <v>14</v>
      </c>
      <c r="H26" t="s">
        <v>15</v>
      </c>
      <c r="I26" t="s">
        <v>16</v>
      </c>
      <c r="M26" t="s">
        <v>34</v>
      </c>
      <c r="W26" t="s">
        <v>74</v>
      </c>
      <c r="Z26" t="s">
        <v>51</v>
      </c>
      <c r="AA26">
        <v>0.05</v>
      </c>
    </row>
    <row r="27" spans="1:28" ht="15.75" thickTop="1">
      <c r="F27" t="s">
        <v>44</v>
      </c>
      <c r="G27">
        <v>16</v>
      </c>
      <c r="H27">
        <v>16</v>
      </c>
      <c r="I27">
        <v>16</v>
      </c>
      <c r="W27" s="18" t="s">
        <v>75</v>
      </c>
      <c r="X27" s="18" t="s">
        <v>76</v>
      </c>
      <c r="Y27" s="18" t="s">
        <v>21</v>
      </c>
      <c r="Z27" s="18" t="s">
        <v>77</v>
      </c>
      <c r="AA27" s="18" t="s">
        <v>64</v>
      </c>
      <c r="AB27" s="18" t="s">
        <v>78</v>
      </c>
    </row>
    <row r="28" spans="1:28" ht="15.75" thickBot="1">
      <c r="F28" t="s">
        <v>24</v>
      </c>
      <c r="G28">
        <v>1418.5833356250002</v>
      </c>
      <c r="H28">
        <v>1399.9993637499999</v>
      </c>
      <c r="I28">
        <v>1312.6919937499999</v>
      </c>
      <c r="M28" t="s">
        <v>55</v>
      </c>
      <c r="R28" t="s">
        <v>56</v>
      </c>
      <c r="S28">
        <v>0.05</v>
      </c>
      <c r="W28" t="str">
        <f>B1</f>
        <v>CERCON CARGA (N)</v>
      </c>
      <c r="X28">
        <f>AVERAGE(B2:B17)</f>
        <v>1418.5833356250002</v>
      </c>
      <c r="Y28">
        <f>COUNT(B2:B17)</f>
        <v>16</v>
      </c>
      <c r="Z28">
        <f>DEVSQ(B2:B17)</f>
        <v>561165.24087913474</v>
      </c>
    </row>
    <row r="29" spans="1:28" ht="15.75" thickTop="1">
      <c r="F29" t="s">
        <v>27</v>
      </c>
      <c r="G29">
        <v>48.354818825666271</v>
      </c>
      <c r="H29">
        <v>71.254913863974636</v>
      </c>
      <c r="I29">
        <v>46.969032980820728</v>
      </c>
      <c r="M29" s="18" t="s">
        <v>57</v>
      </c>
      <c r="N29" s="18" t="s">
        <v>44</v>
      </c>
      <c r="O29" s="18" t="s">
        <v>43</v>
      </c>
      <c r="P29" s="18" t="s">
        <v>24</v>
      </c>
      <c r="Q29" s="18" t="s">
        <v>58</v>
      </c>
      <c r="R29" s="18" t="s">
        <v>59</v>
      </c>
      <c r="S29" s="18" t="s">
        <v>60</v>
      </c>
      <c r="T29" s="18" t="s">
        <v>61</v>
      </c>
      <c r="U29" s="18" t="s">
        <v>62</v>
      </c>
      <c r="W29" t="str">
        <f>C1</f>
        <v>SAGEMAX CARGA (N)</v>
      </c>
      <c r="X29">
        <f>AVERAGE(C2:C17)</f>
        <v>1399.9993637499999</v>
      </c>
      <c r="Y29">
        <f>COUNT(C2:C17)</f>
        <v>16</v>
      </c>
      <c r="Z29">
        <f>DEVSQ(C2:C17)</f>
        <v>1218543.0599429812</v>
      </c>
    </row>
    <row r="30" spans="1:28">
      <c r="F30" t="s">
        <v>29</v>
      </c>
      <c r="G30">
        <v>1382.8463099999999</v>
      </c>
      <c r="H30">
        <v>1385.1558850000001</v>
      </c>
      <c r="I30">
        <v>1346.779295</v>
      </c>
      <c r="M30" t="str">
        <f>B1</f>
        <v>CERCON CARGA (N)</v>
      </c>
      <c r="N30">
        <f>COUNT(B2:B17)</f>
        <v>16</v>
      </c>
      <c r="O30">
        <f>SUM(B2:B17)</f>
        <v>22697.333370000004</v>
      </c>
      <c r="P30">
        <f>AVERAGE(B2:B17)</f>
        <v>1418.5833356250002</v>
      </c>
      <c r="Q30">
        <f>_xlfn.VAR.S(B2:B17)</f>
        <v>37411.016058608147</v>
      </c>
      <c r="R30">
        <f>DEVSQ(B2:B17)</f>
        <v>561165.24087913474</v>
      </c>
      <c r="S30">
        <f>SQRT(P37/N30)</f>
        <v>56.63197363262465</v>
      </c>
      <c r="T30">
        <f>P30-S30*_xlfn.T.INV.2T(S28,O37)</f>
        <v>1304.5206856125203</v>
      </c>
      <c r="U30">
        <f>P30+S30*_xlfn.T.INV.2T(S28,O37)</f>
        <v>1532.6459856374802</v>
      </c>
      <c r="W30" t="str">
        <f>D1</f>
        <v>VITA CARGA (N)</v>
      </c>
      <c r="X30">
        <f>AVERAGE(D2:D17)</f>
        <v>1312.6919937499999</v>
      </c>
      <c r="Y30">
        <f>COUNT(D2:D17)</f>
        <v>16</v>
      </c>
      <c r="Z30">
        <f>DEVSQ(D2:D17)</f>
        <v>529461.6141968153</v>
      </c>
    </row>
    <row r="31" spans="1:28">
      <c r="F31" t="s">
        <v>30</v>
      </c>
      <c r="G31">
        <v>1793.51794</v>
      </c>
      <c r="H31">
        <v>1960.4296899999999</v>
      </c>
      <c r="I31">
        <v>1552.5646999999999</v>
      </c>
      <c r="M31" t="str">
        <f>C1</f>
        <v>SAGEMAX CARGA (N)</v>
      </c>
      <c r="N31">
        <f>COUNT(C2:C17)</f>
        <v>16</v>
      </c>
      <c r="O31">
        <f>SUM(C2:C17)</f>
        <v>22399.989819999999</v>
      </c>
      <c r="P31">
        <f>AVERAGE(C2:C17)</f>
        <v>1399.9993637499999</v>
      </c>
      <c r="Q31">
        <f>_xlfn.VAR.S(C2:C17)</f>
        <v>81236.203996199125</v>
      </c>
      <c r="R31">
        <f>DEVSQ(C2:C17)</f>
        <v>1218543.0599429812</v>
      </c>
      <c r="S31">
        <f>SQRT(P37/N31)</f>
        <v>56.63197363262465</v>
      </c>
      <c r="T31">
        <f>P31-S31*_xlfn.T.INV.2T(S28,O37)</f>
        <v>1285.93671373752</v>
      </c>
      <c r="U31">
        <f>P31+S31*_xlfn.T.INV.2T(S28,O37)</f>
        <v>1514.0620137624799</v>
      </c>
      <c r="W31" s="17"/>
      <c r="X31" s="17"/>
      <c r="Y31" s="17">
        <f>SUM(Y28:Y30)</f>
        <v>48</v>
      </c>
      <c r="Z31" s="17">
        <f>SUM(Z28:Z30)</f>
        <v>2309169.915018931</v>
      </c>
      <c r="AA31" s="17">
        <f>Y31-COUNT(Y28:Y30)</f>
        <v>45</v>
      </c>
      <c r="AB31" s="17" t="e">
        <f ca="1">[1]!QCRIT(COUNT(Y28:Y30),AA31,AA26,2)</f>
        <v>#NAME?</v>
      </c>
    </row>
    <row r="32" spans="1:28" ht="15.75" thickBot="1">
      <c r="F32" t="s">
        <v>31</v>
      </c>
      <c r="G32">
        <v>1129.04871</v>
      </c>
      <c r="H32">
        <v>889.07123000000001</v>
      </c>
      <c r="I32">
        <v>1019.5521199999999</v>
      </c>
      <c r="M32" t="str">
        <f>D1</f>
        <v>VITA CARGA (N)</v>
      </c>
      <c r="N32">
        <f>COUNT(D2:D17)</f>
        <v>16</v>
      </c>
      <c r="O32">
        <f>SUM(D2:D17)</f>
        <v>21003.071899999999</v>
      </c>
      <c r="P32">
        <f>AVERAGE(D2:D17)</f>
        <v>1312.6919937499999</v>
      </c>
      <c r="Q32">
        <f>_xlfn.VAR.S(D2:D17)</f>
        <v>35297.440946454801</v>
      </c>
      <c r="R32">
        <f>DEVSQ(D2:D17)</f>
        <v>529461.6141968153</v>
      </c>
      <c r="S32">
        <f>SQRT(P37/N32)</f>
        <v>56.63197363262465</v>
      </c>
      <c r="T32">
        <f>P32-S32*_xlfn.T.INV.2T(S28,O37)</f>
        <v>1198.62934373752</v>
      </c>
      <c r="U32">
        <f>P32+S32*_xlfn.T.INV.2T(S28,O37)</f>
        <v>1426.7546437624799</v>
      </c>
      <c r="W32" t="s">
        <v>79</v>
      </c>
    </row>
    <row r="33" spans="6:32" ht="15.75" thickTop="1">
      <c r="F33" t="s">
        <v>32</v>
      </c>
      <c r="G33">
        <v>197.53842499999996</v>
      </c>
      <c r="H33">
        <v>420.46365250000008</v>
      </c>
      <c r="I33">
        <v>268.42438249999987</v>
      </c>
      <c r="M33" s="17"/>
      <c r="N33" s="17"/>
      <c r="O33" s="17"/>
      <c r="P33" s="17"/>
      <c r="Q33" s="17"/>
      <c r="R33" s="17"/>
      <c r="S33" s="17"/>
      <c r="T33" s="17"/>
      <c r="U33" s="17"/>
      <c r="W33" s="18" t="s">
        <v>80</v>
      </c>
      <c r="X33" s="18" t="s">
        <v>81</v>
      </c>
      <c r="Y33" s="18" t="s">
        <v>76</v>
      </c>
      <c r="Z33" s="18" t="s">
        <v>82</v>
      </c>
      <c r="AA33" s="18" t="s">
        <v>83</v>
      </c>
      <c r="AB33" s="18" t="s">
        <v>84</v>
      </c>
      <c r="AC33" s="18" t="s">
        <v>85</v>
      </c>
      <c r="AD33" s="18" t="s">
        <v>33</v>
      </c>
      <c r="AE33" s="18" t="s">
        <v>86</v>
      </c>
      <c r="AF33" s="18" t="s">
        <v>87</v>
      </c>
    </row>
    <row r="34" spans="6:32" ht="15.75" thickBot="1">
      <c r="F34" t="s">
        <v>33</v>
      </c>
      <c r="G34">
        <v>0.22981025360255247</v>
      </c>
      <c r="H34">
        <v>0.95275833497725915</v>
      </c>
      <c r="I34">
        <v>6.3127543655128182E-2</v>
      </c>
      <c r="M34" t="s">
        <v>25</v>
      </c>
      <c r="W34" s="17" t="str">
        <f>W28</f>
        <v>CERCON CARGA (N)</v>
      </c>
      <c r="X34" s="17" t="str">
        <f>W29</f>
        <v>SAGEMAX CARGA (N)</v>
      </c>
      <c r="Y34" s="17">
        <f>ABS(X28-X29)</f>
        <v>18.583971875000316</v>
      </c>
      <c r="Z34" s="17">
        <f>SQRT(Z31/AA31/HARMEAN(Y28,Y29))</f>
        <v>56.63197363262465</v>
      </c>
      <c r="AA34" s="17">
        <f>Y34/Z34</f>
        <v>0.32815335018263303</v>
      </c>
      <c r="AB34" s="17" t="e">
        <f ca="1">Y34-Z34*AB$31</f>
        <v>#NAME?</v>
      </c>
      <c r="AC34" s="17" t="e">
        <f ca="1">Y34+Z34*AB$31</f>
        <v>#NAME?</v>
      </c>
      <c r="AD34" s="17" t="e">
        <f ca="1">[1]!QDIST(AA34,COUNT($Y$28:$Y$30),AA$31)</f>
        <v>#NAME?</v>
      </c>
      <c r="AE34" s="17" t="e">
        <f ca="1">Z34*AB$31</f>
        <v>#NAME?</v>
      </c>
      <c r="AF34" s="17">
        <f>Y34*SQRT(AA$31/Z$31)</f>
        <v>8.2038337545658244E-2</v>
      </c>
    </row>
    <row r="35" spans="6:32" ht="15.75" thickTop="1">
      <c r="F35" t="s">
        <v>67</v>
      </c>
      <c r="G35">
        <v>0.37707101540667298</v>
      </c>
      <c r="M35" s="18" t="s">
        <v>63</v>
      </c>
      <c r="N35" s="18" t="s">
        <v>59</v>
      </c>
      <c r="O35" s="18" t="s">
        <v>64</v>
      </c>
      <c r="P35" s="18" t="s">
        <v>65</v>
      </c>
      <c r="Q35" s="18" t="s">
        <v>66</v>
      </c>
      <c r="R35" s="18" t="s">
        <v>67</v>
      </c>
      <c r="S35" s="18" t="s">
        <v>68</v>
      </c>
      <c r="T35" s="18" t="s">
        <v>69</v>
      </c>
      <c r="U35" s="18" t="s">
        <v>70</v>
      </c>
      <c r="W35" s="19" t="str">
        <f>W28</f>
        <v>CERCON CARGA (N)</v>
      </c>
      <c r="X35" s="19" t="str">
        <f>W30</f>
        <v>VITA CARGA (N)</v>
      </c>
      <c r="Y35" s="19">
        <f>ABS(X28-X30)</f>
        <v>105.89134187500031</v>
      </c>
      <c r="Z35" s="19">
        <f>SQRT(Z31/AA31/HARMEAN(Y28,Y30))</f>
        <v>56.63197363262465</v>
      </c>
      <c r="AA35" s="19">
        <f>Y35/Z35</f>
        <v>1.8698154961351767</v>
      </c>
      <c r="AB35" s="19" t="e">
        <f ca="1">Y35-Z35*AB$31</f>
        <v>#NAME?</v>
      </c>
      <c r="AC35" s="19" t="e">
        <f ca="1">Y35+Z35*AB$31</f>
        <v>#NAME?</v>
      </c>
      <c r="AD35" s="19" t="e">
        <f ca="1">[1]!QDIST(AA35,COUNT($Y$28:$Y$30),AA$31)</f>
        <v>#NAME?</v>
      </c>
      <c r="AE35" s="19" t="e">
        <f ca="1">Z35*AB$31</f>
        <v>#NAME?</v>
      </c>
      <c r="AF35" s="19">
        <f>Y35*SQRT(AA$31/Z$31)</f>
        <v>0.46745387403379418</v>
      </c>
    </row>
    <row r="36" spans="6:32">
      <c r="M36" t="s">
        <v>71</v>
      </c>
      <c r="N36">
        <f>N38-N37</f>
        <v>102298.22480563121</v>
      </c>
      <c r="O36">
        <f>COUNTA(M30:M32)-1</f>
        <v>2</v>
      </c>
      <c r="P36">
        <f>N36/O36</f>
        <v>51149.112402815605</v>
      </c>
      <c r="Q36">
        <f>P36/P37</f>
        <v>0.9967694638477187</v>
      </c>
      <c r="R36">
        <f>_xlfn.F.DIST.RT(Q36,O36,O37)</f>
        <v>0.37707101540667298</v>
      </c>
      <c r="S36">
        <f>N36/N38</f>
        <v>4.2421553540853973E-2</v>
      </c>
      <c r="T36">
        <f>SQRT(DEVSQ(P30:P32)/(P37*O36))</f>
        <v>0.24959585631673167</v>
      </c>
      <c r="U36">
        <f>(N38-O38*P37)/(N38+P37)</f>
        <v>-1.3462379413824459E-4</v>
      </c>
      <c r="W36" s="14" t="str">
        <f>W29</f>
        <v>SAGEMAX CARGA (N)</v>
      </c>
      <c r="X36" s="14" t="str">
        <f>W30</f>
        <v>VITA CARGA (N)</v>
      </c>
      <c r="Y36" s="14">
        <f>ABS(X29-X30)</f>
        <v>87.307369999999992</v>
      </c>
      <c r="Z36" s="14">
        <f>SQRT(Z31/AA31/HARMEAN(Y29,Y30))</f>
        <v>56.63197363262465</v>
      </c>
      <c r="AA36" s="14">
        <f>Y36/Z36</f>
        <v>1.5416621459525437</v>
      </c>
      <c r="AB36" s="14" t="e">
        <f ca="1">Y36-Z36*AB$31</f>
        <v>#NAME?</v>
      </c>
      <c r="AC36" s="14" t="e">
        <f ca="1">Y36+Z36*AB$31</f>
        <v>#NAME?</v>
      </c>
      <c r="AD36" s="14" t="e">
        <f ca="1">[1]!QDIST(AA36,COUNT($Y$28:$Y$30),AA$31)</f>
        <v>#NAME?</v>
      </c>
      <c r="AE36" s="14" t="e">
        <f ca="1">Z36*AB$31</f>
        <v>#NAME?</v>
      </c>
      <c r="AF36" s="14">
        <f>Y36*SQRT(AA$31/Z$31)</f>
        <v>0.38541553648813592</v>
      </c>
    </row>
    <row r="37" spans="6:32">
      <c r="M37" t="s">
        <v>72</v>
      </c>
      <c r="N37">
        <f>SUM(R30:R32)</f>
        <v>2309169.915018931</v>
      </c>
      <c r="O37">
        <f>O38-O36</f>
        <v>45</v>
      </c>
      <c r="P37">
        <f>N37/O37</f>
        <v>51314.887000420691</v>
      </c>
    </row>
    <row r="38" spans="6:32">
      <c r="M38" s="14" t="s">
        <v>73</v>
      </c>
      <c r="N38" s="14">
        <f>DEVSQ(B2:D17)</f>
        <v>2411468.1398245622</v>
      </c>
      <c r="O38" s="14">
        <f>COUNT(B2:D17)-1</f>
        <v>47</v>
      </c>
      <c r="P38" s="14">
        <f>N38/O38</f>
        <v>51307.832762224731</v>
      </c>
      <c r="Q38" s="14"/>
      <c r="R38" s="14"/>
      <c r="S38" s="14"/>
      <c r="T38" s="14"/>
      <c r="U38"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C0A51-F6B9-40BA-B96A-63BE6117BD0C}">
  <dimension ref="A1:B25"/>
  <sheetViews>
    <sheetView workbookViewId="0">
      <selection activeCell="A2" sqref="A2:B23"/>
    </sheetView>
  </sheetViews>
  <sheetFormatPr baseColWidth="10" defaultRowHeight="15"/>
  <cols>
    <col min="1" max="1" width="24.7109375" customWidth="1"/>
    <col min="2" max="2" width="19" customWidth="1"/>
  </cols>
  <sheetData>
    <row r="1" spans="1:2" ht="23.25" customHeight="1">
      <c r="B1" s="3" t="s">
        <v>14</v>
      </c>
    </row>
    <row r="2" spans="1:2">
      <c r="A2" s="4">
        <v>1</v>
      </c>
      <c r="B2">
        <v>1459.8419200000001</v>
      </c>
    </row>
    <row r="3" spans="1:2">
      <c r="A3" s="4">
        <v>2</v>
      </c>
      <c r="B3">
        <v>1129.04871</v>
      </c>
    </row>
    <row r="4" spans="1:2">
      <c r="A4" s="4">
        <v>3</v>
      </c>
      <c r="B4">
        <v>1476.90894</v>
      </c>
    </row>
    <row r="5" spans="1:2">
      <c r="A5" s="4">
        <v>4</v>
      </c>
      <c r="B5">
        <v>1212.3089600000001</v>
      </c>
    </row>
    <row r="6" spans="1:2">
      <c r="A6" s="4">
        <v>5</v>
      </c>
      <c r="B6">
        <v>1647.2546400000001</v>
      </c>
    </row>
    <row r="7" spans="1:2">
      <c r="A7" s="4">
        <v>6</v>
      </c>
      <c r="B7">
        <v>1457.52539</v>
      </c>
    </row>
    <row r="8" spans="1:2">
      <c r="A8" s="4">
        <v>7</v>
      </c>
      <c r="B8">
        <v>1793.51794</v>
      </c>
    </row>
    <row r="9" spans="1:2">
      <c r="A9" s="4">
        <v>8</v>
      </c>
      <c r="B9">
        <v>1793.51794</v>
      </c>
    </row>
    <row r="10" spans="1:2">
      <c r="A10" s="4">
        <v>9</v>
      </c>
      <c r="B10">
        <v>1252.6709000000001</v>
      </c>
    </row>
    <row r="11" spans="1:2">
      <c r="A11" s="4">
        <v>10</v>
      </c>
      <c r="B11">
        <v>1362.71948</v>
      </c>
    </row>
    <row r="12" spans="1:2">
      <c r="A12" s="4">
        <v>11</v>
      </c>
      <c r="B12">
        <v>1402.9731400000001</v>
      </c>
    </row>
    <row r="13" spans="1:2">
      <c r="A13" s="4">
        <v>12</v>
      </c>
      <c r="B13">
        <v>1331.0671400000001</v>
      </c>
    </row>
    <row r="14" spans="1:2">
      <c r="A14" s="4">
        <v>13</v>
      </c>
      <c r="B14">
        <v>1244.63086</v>
      </c>
    </row>
    <row r="15" spans="1:2">
      <c r="A15" s="4">
        <v>14</v>
      </c>
      <c r="B15">
        <v>1348.83899</v>
      </c>
    </row>
    <row r="16" spans="1:2">
      <c r="A16" s="4">
        <v>15</v>
      </c>
      <c r="B16">
        <v>1293.10266</v>
      </c>
    </row>
    <row r="17" spans="1:2">
      <c r="A17" s="4">
        <v>16</v>
      </c>
      <c r="B17">
        <v>1491.4057600000001</v>
      </c>
    </row>
    <row r="18" spans="1:2">
      <c r="A18" s="1" t="s">
        <v>0</v>
      </c>
      <c r="B18">
        <v>1382.0174099999999</v>
      </c>
    </row>
    <row r="19" spans="1:2">
      <c r="A19" s="1" t="s">
        <v>1</v>
      </c>
      <c r="B19">
        <v>1355.7792400000001</v>
      </c>
    </row>
    <row r="20" spans="1:2">
      <c r="A20" s="1" t="s">
        <v>2</v>
      </c>
      <c r="B20">
        <v>1793.51794</v>
      </c>
    </row>
    <row r="21" spans="1:2">
      <c r="A21" s="1" t="s">
        <v>3</v>
      </c>
      <c r="B21">
        <v>1129.04871</v>
      </c>
    </row>
    <row r="22" spans="1:2">
      <c r="A22" s="1" t="s">
        <v>4</v>
      </c>
      <c r="B22">
        <v>171.91989000000001</v>
      </c>
    </row>
    <row r="23" spans="1:2">
      <c r="A23" s="1" t="s">
        <v>5</v>
      </c>
      <c r="B23">
        <v>12.439780000000001</v>
      </c>
    </row>
    <row r="24" spans="1:2">
      <c r="A24" s="2"/>
    </row>
    <row r="25" spans="1:2">
      <c r="A25" s="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E2A4D-2222-4A0E-8AF8-9B9E40FA6642}">
  <dimension ref="A1:A8"/>
  <sheetViews>
    <sheetView workbookViewId="0">
      <selection activeCell="A3" sqref="A3"/>
    </sheetView>
  </sheetViews>
  <sheetFormatPr baseColWidth="10" defaultRowHeight="15"/>
  <cols>
    <col min="1" max="1" width="71.140625" customWidth="1"/>
  </cols>
  <sheetData>
    <row r="1" spans="1:1" ht="21">
      <c r="A1" s="5" t="s">
        <v>6</v>
      </c>
    </row>
    <row r="2" spans="1:1" ht="15.75">
      <c r="A2" s="6" t="s">
        <v>7</v>
      </c>
    </row>
    <row r="3" spans="1:1" ht="60">
      <c r="A3" s="7" t="s">
        <v>8</v>
      </c>
    </row>
    <row r="4" spans="1:1" ht="15.75">
      <c r="A4" s="6" t="s">
        <v>9</v>
      </c>
    </row>
    <row r="5" spans="1:1" ht="60">
      <c r="A5" s="7" t="s">
        <v>10</v>
      </c>
    </row>
    <row r="6" spans="1:1" ht="60">
      <c r="A6" s="7" t="s">
        <v>11</v>
      </c>
    </row>
    <row r="7" spans="1:1" ht="60">
      <c r="A7" s="7" t="s">
        <v>12</v>
      </c>
    </row>
    <row r="8" spans="1:1" ht="45">
      <c r="A8" s="7" t="s">
        <v>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02114-90EE-4896-9117-C94DBD8BF315}">
  <dimension ref="A1:B23"/>
  <sheetViews>
    <sheetView workbookViewId="0">
      <selection activeCell="F11" sqref="F11"/>
    </sheetView>
  </sheetViews>
  <sheetFormatPr baseColWidth="10" defaultRowHeight="15"/>
  <cols>
    <col min="1" max="1" width="25.85546875" customWidth="1"/>
    <col min="2" max="2" width="18.85546875" customWidth="1"/>
  </cols>
  <sheetData>
    <row r="1" spans="1:2" ht="21.75" customHeight="1">
      <c r="B1" s="3" t="s">
        <v>15</v>
      </c>
    </row>
    <row r="2" spans="1:2">
      <c r="A2" s="4">
        <v>1</v>
      </c>
      <c r="B2">
        <v>1279.9377400000001</v>
      </c>
    </row>
    <row r="3" spans="1:2">
      <c r="A3" s="4">
        <v>2</v>
      </c>
      <c r="B3">
        <v>1238.06934</v>
      </c>
    </row>
    <row r="4" spans="1:2">
      <c r="A4" s="4">
        <v>3</v>
      </c>
      <c r="B4">
        <v>1211.1478300000001</v>
      </c>
    </row>
    <row r="5" spans="1:2">
      <c r="A5" s="4">
        <v>4</v>
      </c>
      <c r="B5">
        <v>1014.73352</v>
      </c>
    </row>
    <row r="6" spans="1:2">
      <c r="A6" s="4">
        <v>5</v>
      </c>
      <c r="B6">
        <v>1359.51782</v>
      </c>
    </row>
    <row r="7" spans="1:2">
      <c r="A7" s="4">
        <v>6</v>
      </c>
      <c r="B7">
        <v>889.07123000000001</v>
      </c>
    </row>
    <row r="8" spans="1:2">
      <c r="A8" s="4">
        <v>7</v>
      </c>
      <c r="B8">
        <v>1661.03333</v>
      </c>
    </row>
    <row r="9" spans="1:2">
      <c r="A9" s="4">
        <v>8</v>
      </c>
      <c r="B9">
        <v>1696.5430899999999</v>
      </c>
    </row>
    <row r="10" spans="1:2">
      <c r="A10" s="4">
        <v>9</v>
      </c>
      <c r="B10">
        <v>1282.80762</v>
      </c>
    </row>
    <row r="11" spans="1:2">
      <c r="A11" s="4">
        <v>10</v>
      </c>
      <c r="B11">
        <v>1960.4296899999999</v>
      </c>
    </row>
    <row r="12" spans="1:2">
      <c r="A12" s="4">
        <v>11</v>
      </c>
      <c r="B12">
        <v>1425.7042200000001</v>
      </c>
    </row>
    <row r="13" spans="1:2">
      <c r="A13" s="4">
        <v>12</v>
      </c>
      <c r="B13">
        <v>1410.79395</v>
      </c>
    </row>
    <row r="14" spans="1:2">
      <c r="A14" s="4">
        <v>13</v>
      </c>
      <c r="B14">
        <v>1561.0915500000001</v>
      </c>
    </row>
    <row r="15" spans="1:2">
      <c r="A15" s="4">
        <v>14</v>
      </c>
      <c r="B15">
        <v>1648.7257099999999</v>
      </c>
    </row>
    <row r="16" spans="1:2">
      <c r="A16" s="4">
        <v>15</v>
      </c>
      <c r="B16">
        <v>1661.1324500000001</v>
      </c>
    </row>
    <row r="17" spans="1:2">
      <c r="A17" s="4">
        <v>16</v>
      </c>
      <c r="B17">
        <v>1099.25073</v>
      </c>
    </row>
    <row r="18" spans="1:2">
      <c r="A18" s="1" t="s">
        <v>0</v>
      </c>
      <c r="B18">
        <v>1399.99936</v>
      </c>
    </row>
    <row r="19" spans="1:2">
      <c r="A19" s="1" t="s">
        <v>1</v>
      </c>
      <c r="B19">
        <v>1385.15588</v>
      </c>
    </row>
    <row r="20" spans="1:2">
      <c r="A20" s="1" t="s">
        <v>2</v>
      </c>
      <c r="B20">
        <v>1960.4296899999999</v>
      </c>
    </row>
    <row r="21" spans="1:2">
      <c r="A21" s="1" t="s">
        <v>3</v>
      </c>
      <c r="B21">
        <v>889.07123000000001</v>
      </c>
    </row>
    <row r="22" spans="1:2">
      <c r="A22" s="1" t="s">
        <v>4</v>
      </c>
      <c r="B22">
        <v>285.01965000000001</v>
      </c>
    </row>
    <row r="23" spans="1:2">
      <c r="A23" s="1" t="s">
        <v>5</v>
      </c>
      <c r="B23">
        <v>20.358560000000001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38940-6339-43D8-91AC-CDDCB32B7A80}">
  <dimension ref="A1:B23"/>
  <sheetViews>
    <sheetView topLeftCell="A16" workbookViewId="0">
      <selection activeCell="B1" sqref="B1:B17"/>
    </sheetView>
  </sheetViews>
  <sheetFormatPr baseColWidth="10" defaultRowHeight="15"/>
  <cols>
    <col min="1" max="1" width="25.5703125" customWidth="1"/>
    <col min="2" max="2" width="21.140625" customWidth="1"/>
  </cols>
  <sheetData>
    <row r="1" spans="1:2">
      <c r="B1" s="3" t="s">
        <v>16</v>
      </c>
    </row>
    <row r="2" spans="1:2">
      <c r="A2" s="4">
        <v>1</v>
      </c>
      <c r="B2">
        <v>1250.9122299999999</v>
      </c>
    </row>
    <row r="3" spans="1:2">
      <c r="A3" s="4">
        <v>2</v>
      </c>
      <c r="B3">
        <v>1522.88977</v>
      </c>
    </row>
    <row r="4" spans="1:2">
      <c r="A4" s="4">
        <v>3</v>
      </c>
      <c r="B4">
        <v>1266.2282700000001</v>
      </c>
    </row>
    <row r="5" spans="1:2">
      <c r="A5" s="4">
        <v>4</v>
      </c>
      <c r="B5">
        <v>1473.85706</v>
      </c>
    </row>
    <row r="6" spans="1:2">
      <c r="A6" s="4">
        <v>5</v>
      </c>
      <c r="B6">
        <v>1353.41992</v>
      </c>
    </row>
    <row r="7" spans="1:2">
      <c r="A7" s="4">
        <v>6</v>
      </c>
      <c r="B7">
        <v>1424.20264</v>
      </c>
    </row>
    <row r="8" spans="1:2">
      <c r="A8" s="4">
        <v>7</v>
      </c>
      <c r="B8">
        <v>1036.7800299999999</v>
      </c>
    </row>
    <row r="9" spans="1:2">
      <c r="A9" s="4">
        <v>8</v>
      </c>
      <c r="B9">
        <v>1552.5646999999999</v>
      </c>
    </row>
    <row r="10" spans="1:2">
      <c r="A10" s="4">
        <v>9</v>
      </c>
      <c r="B10">
        <v>1021.54456</v>
      </c>
    </row>
    <row r="11" spans="1:2">
      <c r="A11" s="4">
        <v>10</v>
      </c>
      <c r="B11">
        <v>1505.3908699999999</v>
      </c>
    </row>
    <row r="12" spans="1:2">
      <c r="A12" s="4">
        <v>11</v>
      </c>
      <c r="B12">
        <v>1414.8551</v>
      </c>
    </row>
    <row r="13" spans="1:2">
      <c r="A13" s="4">
        <v>12</v>
      </c>
      <c r="B13">
        <v>1475.58069</v>
      </c>
    </row>
    <row r="14" spans="1:2">
      <c r="A14" s="4">
        <v>13</v>
      </c>
      <c r="B14">
        <v>1274.4376199999999</v>
      </c>
    </row>
    <row r="15" spans="1:2">
      <c r="A15" s="4">
        <v>14</v>
      </c>
      <c r="B15">
        <v>1019.5521199999999</v>
      </c>
    </row>
    <row r="16" spans="1:2">
      <c r="A16" s="4">
        <v>15</v>
      </c>
      <c r="B16">
        <v>1340.13867</v>
      </c>
    </row>
    <row r="17" spans="1:2">
      <c r="A17" s="4">
        <v>16</v>
      </c>
      <c r="B17">
        <v>1070.71765</v>
      </c>
    </row>
    <row r="18" spans="1:2">
      <c r="A18" s="1" t="s">
        <v>0</v>
      </c>
      <c r="B18">
        <v>1312.69199</v>
      </c>
    </row>
    <row r="19" spans="1:2">
      <c r="A19" s="1" t="s">
        <v>1</v>
      </c>
      <c r="B19">
        <v>1346.7792999999999</v>
      </c>
    </row>
    <row r="20" spans="1:2">
      <c r="A20" s="1" t="s">
        <v>2</v>
      </c>
      <c r="B20">
        <v>1552.5646999999999</v>
      </c>
    </row>
    <row r="21" spans="1:2">
      <c r="A21" s="1" t="s">
        <v>3</v>
      </c>
      <c r="B21">
        <v>1019.5521199999999</v>
      </c>
    </row>
    <row r="22" spans="1:2">
      <c r="A22" s="1" t="s">
        <v>4</v>
      </c>
      <c r="B22">
        <v>187.87612999999999</v>
      </c>
    </row>
    <row r="23" spans="1:2">
      <c r="A23" s="1" t="s">
        <v>5</v>
      </c>
      <c r="B23">
        <v>14.312279999999999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RESULTADSO</vt:lpstr>
      <vt:lpstr>BASE</vt:lpstr>
      <vt:lpstr>CERCON</vt:lpstr>
      <vt:lpstr>objetivos</vt:lpstr>
      <vt:lpstr>SAGEMAX</vt:lpstr>
      <vt:lpstr>VITA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2024-03-27T04:45:21Z</dcterms:created>
  <dcterms:modified xsi:type="dcterms:W3CDTF">2024-05-17T05:18:57Z</dcterms:modified>
</cp:coreProperties>
</file>