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4"/>
  <workbookPr/>
  <mc:AlternateContent xmlns:mc="http://schemas.openxmlformats.org/markup-compatibility/2006">
    <mc:Choice Requires="x15">
      <x15ac:absPath xmlns:x15ac="http://schemas.microsoft.com/office/spreadsheetml/2010/11/ac" url="https://unicoceduco-my.sharepoint.com/personal/pserrato_unicoc_edu_co/Documents/TESIS ANGULO CONDILAR/MUESTRA/"/>
    </mc:Choice>
  </mc:AlternateContent>
  <xr:revisionPtr revIDLastSave="0" documentId="8_{B444FC69-6976-496D-9962-F446247B94AB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resultados" sheetId="8" r:id="rId1"/>
    <sheet name="objetivos" sheetId="7" r:id="rId2"/>
    <sheet name="base (2)" sheetId="6" r:id="rId3"/>
    <sheet name="Hoja1" sheetId="1" r:id="rId4"/>
    <sheet name="MUESTRA" sheetId="2" r:id="rId5"/>
    <sheet name="base" sheetId="5" r:id="rId6"/>
    <sheet name="IVAN RADA" sheetId="3" r:id="rId7"/>
    <sheet name="CATALINA SERRATO" sheetId="4" r:id="rId8"/>
  </sheets>
  <externalReferences>
    <externalReference r:id="rId9"/>
  </externalReferences>
  <definedNames>
    <definedName name="_xlnm._FilterDatabase" localSheetId="2" hidden="1">'base (2)'!$A$1:$H$136</definedName>
    <definedName name="_xlchart.v1.0" hidden="1">'base (2)'!$J$142</definedName>
    <definedName name="_xlchart.v1.1" hidden="1">'base (2)'!$J$143:$J$169</definedName>
    <definedName name="_xlchart.v1.10" hidden="1">'base (2)'!$R$280</definedName>
    <definedName name="_xlchart.v1.11" hidden="1">'base (2)'!$R$281:$R$307</definedName>
    <definedName name="_xlchart.v1.12" hidden="1">'base (2)'!$S$280</definedName>
    <definedName name="_xlchart.v1.13" hidden="1">'base (2)'!$S$281:$S$307</definedName>
    <definedName name="_xlchart.v1.14" hidden="1">'base (2)'!$T$280</definedName>
    <definedName name="_xlchart.v1.15" hidden="1">'base (2)'!$T$281:$T$307</definedName>
    <definedName name="_xlchart.v1.16" hidden="1">'base (2)'!$U$280</definedName>
    <definedName name="_xlchart.v1.17" hidden="1">'base (2)'!$U$281:$U$307</definedName>
    <definedName name="_xlchart.v1.18" hidden="1">'base (2)'!$V$280</definedName>
    <definedName name="_xlchart.v1.19" hidden="1">'base (2)'!$V$281:$V$307</definedName>
    <definedName name="_xlchart.v1.2" hidden="1">'base (2)'!$K$142</definedName>
    <definedName name="_xlchart.v1.3" hidden="1">'base (2)'!$K$143:$K$169</definedName>
    <definedName name="_xlchart.v1.4" hidden="1">'base (2)'!$L$142</definedName>
    <definedName name="_xlchart.v1.5" hidden="1">'base (2)'!$L$143:$L$169</definedName>
    <definedName name="_xlchart.v1.6" hidden="1">'base (2)'!$M$142</definedName>
    <definedName name="_xlchart.v1.7" hidden="1">'base (2)'!$M$143:$M$169</definedName>
    <definedName name="_xlchart.v1.8" hidden="1">'base (2)'!$N$142</definedName>
    <definedName name="_xlchart.v1.9" hidden="1">'base (2)'!$N$143:$N$169</definedName>
    <definedName name="OBJETIVOS" localSheetId="5">base!$K$1</definedName>
    <definedName name="OBJETIVOS" localSheetId="2">'base (2)'!$K$1</definedName>
  </definedNames>
  <calcPr calcId="191028"/>
  <pivotCaches>
    <pivotCache cacheId="1079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85" i="6" l="1"/>
  <c r="Y284" i="6"/>
  <c r="Y283" i="6"/>
  <c r="R280" i="6" a="1"/>
  <c r="T281" i="6" l="1"/>
  <c r="R283" i="6"/>
  <c r="U284" i="6"/>
  <c r="S286" i="6"/>
  <c r="V287" i="6"/>
  <c r="T289" i="6"/>
  <c r="R291" i="6"/>
  <c r="U292" i="6"/>
  <c r="S294" i="6"/>
  <c r="V295" i="6"/>
  <c r="T297" i="6"/>
  <c r="R299" i="6"/>
  <c r="R280" i="6"/>
  <c r="U281" i="6"/>
  <c r="S283" i="6"/>
  <c r="V284" i="6"/>
  <c r="T286" i="6"/>
  <c r="R288" i="6"/>
  <c r="U289" i="6"/>
  <c r="S291" i="6"/>
  <c r="V292" i="6"/>
  <c r="T294" i="6"/>
  <c r="R296" i="6"/>
  <c r="U297" i="6"/>
  <c r="S299" i="6"/>
  <c r="V300" i="6"/>
  <c r="T302" i="6"/>
  <c r="R304" i="6"/>
  <c r="U305" i="6"/>
  <c r="S307" i="6"/>
  <c r="S280" i="6"/>
  <c r="V281" i="6"/>
  <c r="T283" i="6"/>
  <c r="R285" i="6"/>
  <c r="U286" i="6"/>
  <c r="S288" i="6"/>
  <c r="V289" i="6"/>
  <c r="T291" i="6"/>
  <c r="R293" i="6"/>
  <c r="U294" i="6"/>
  <c r="S296" i="6"/>
  <c r="V297" i="6"/>
  <c r="T299" i="6"/>
  <c r="R301" i="6"/>
  <c r="U302" i="6"/>
  <c r="S304" i="6"/>
  <c r="V305" i="6"/>
  <c r="T307" i="6"/>
  <c r="T280" i="6"/>
  <c r="R282" i="6"/>
  <c r="U283" i="6"/>
  <c r="S285" i="6"/>
  <c r="V286" i="6"/>
  <c r="T288" i="6"/>
  <c r="R290" i="6"/>
  <c r="U291" i="6"/>
  <c r="S293" i="6"/>
  <c r="V294" i="6"/>
  <c r="T296" i="6"/>
  <c r="R298" i="6"/>
  <c r="U299" i="6"/>
  <c r="S301" i="6"/>
  <c r="V302" i="6"/>
  <c r="T304" i="6"/>
  <c r="R306" i="6"/>
  <c r="U307" i="6"/>
  <c r="U280" i="6"/>
  <c r="S282" i="6"/>
  <c r="V283" i="6"/>
  <c r="T285" i="6"/>
  <c r="R287" i="6"/>
  <c r="U288" i="6"/>
  <c r="S290" i="6"/>
  <c r="V291" i="6"/>
  <c r="T293" i="6"/>
  <c r="R295" i="6"/>
  <c r="U296" i="6"/>
  <c r="S298" i="6"/>
  <c r="V299" i="6"/>
  <c r="T301" i="6"/>
  <c r="R303" i="6"/>
  <c r="U304" i="6"/>
  <c r="S306" i="6"/>
  <c r="V307" i="6"/>
  <c r="V280" i="6"/>
  <c r="T282" i="6"/>
  <c r="R284" i="6"/>
  <c r="U285" i="6"/>
  <c r="S287" i="6"/>
  <c r="V288" i="6"/>
  <c r="T290" i="6"/>
  <c r="R292" i="6"/>
  <c r="U293" i="6"/>
  <c r="S295" i="6"/>
  <c r="V296" i="6"/>
  <c r="T298" i="6"/>
  <c r="R300" i="6"/>
  <c r="R281" i="6"/>
  <c r="T287" i="6"/>
  <c r="V293" i="6"/>
  <c r="S300" i="6"/>
  <c r="T303" i="6"/>
  <c r="U306" i="6"/>
  <c r="S281" i="6"/>
  <c r="R294" i="6"/>
  <c r="T300" i="6"/>
  <c r="U303" i="6"/>
  <c r="U282" i="6"/>
  <c r="R289" i="6"/>
  <c r="T295" i="6"/>
  <c r="U300" i="6"/>
  <c r="V303" i="6"/>
  <c r="V282" i="6"/>
  <c r="U295" i="6"/>
  <c r="V304" i="6"/>
  <c r="S284" i="6"/>
  <c r="U290" i="6"/>
  <c r="R297" i="6"/>
  <c r="R305" i="6"/>
  <c r="V290" i="6"/>
  <c r="R302" i="6"/>
  <c r="V285" i="6"/>
  <c r="S302" i="6"/>
  <c r="T292" i="6"/>
  <c r="S303" i="6"/>
  <c r="U287" i="6"/>
  <c r="V306" i="6"/>
  <c r="R307" i="6"/>
  <c r="S289" i="6"/>
  <c r="U301" i="6"/>
  <c r="V301" i="6"/>
  <c r="T284" i="6"/>
  <c r="S297" i="6"/>
  <c r="S305" i="6"/>
  <c r="S292" i="6"/>
  <c r="U298" i="6"/>
  <c r="T305" i="6"/>
  <c r="R286" i="6"/>
  <c r="V298" i="6"/>
  <c r="T306" i="6"/>
  <c r="BT29" i="7" l="1"/>
  <c r="BY10" i="7" s="1"/>
  <c r="CP28" i="7"/>
  <c r="CP22" i="7"/>
  <c r="CP23" i="7" s="1"/>
  <c r="CP21" i="7"/>
  <c r="BR23" i="7" a="1"/>
  <c r="BR5" i="7" a="1"/>
  <c r="BQ24" i="7" a="1"/>
  <c r="BR14" i="7" a="1"/>
  <c r="BQ6" i="7" a="1"/>
  <c r="BQ15" i="7" a="1"/>
  <c r="CD4" i="7" a="1"/>
  <c r="CE6" i="7" l="1"/>
  <c r="CD9" i="7"/>
  <c r="CF11" i="7"/>
  <c r="CE14" i="7"/>
  <c r="CD17" i="7"/>
  <c r="CF19" i="7"/>
  <c r="CE22" i="7"/>
  <c r="CD25" i="7"/>
  <c r="CF27" i="7"/>
  <c r="CE30" i="7"/>
  <c r="CD33" i="7"/>
  <c r="CF35" i="7"/>
  <c r="CE38" i="7"/>
  <c r="CD41" i="7"/>
  <c r="CF43" i="7"/>
  <c r="CE46" i="7"/>
  <c r="CD49" i="7"/>
  <c r="CF51" i="7"/>
  <c r="CE54" i="7"/>
  <c r="CD57" i="7"/>
  <c r="CF59" i="7"/>
  <c r="CE62" i="7"/>
  <c r="CD65" i="7"/>
  <c r="CF67" i="7"/>
  <c r="CE70" i="7"/>
  <c r="CD73" i="7"/>
  <c r="CF75" i="7"/>
  <c r="CD81" i="7"/>
  <c r="CD4" i="7"/>
  <c r="CF6" i="7"/>
  <c r="CE9" i="7"/>
  <c r="CD12" i="7"/>
  <c r="CF14" i="7"/>
  <c r="CE17" i="7"/>
  <c r="CD20" i="7"/>
  <c r="CF22" i="7"/>
  <c r="CE25" i="7"/>
  <c r="CD28" i="7"/>
  <c r="CF30" i="7"/>
  <c r="CE33" i="7"/>
  <c r="CD36" i="7"/>
  <c r="CF38" i="7"/>
  <c r="CE41" i="7"/>
  <c r="CD44" i="7"/>
  <c r="CF46" i="7"/>
  <c r="CE49" i="7"/>
  <c r="CD52" i="7"/>
  <c r="CF54" i="7"/>
  <c r="CE57" i="7"/>
  <c r="CD60" i="7"/>
  <c r="CF62" i="7"/>
  <c r="CE65" i="7"/>
  <c r="CD68" i="7"/>
  <c r="CF70" i="7"/>
  <c r="CE73" i="7"/>
  <c r="CD76" i="7"/>
  <c r="CF78" i="7"/>
  <c r="CE81" i="7"/>
  <c r="CD84" i="7"/>
  <c r="CF86" i="7"/>
  <c r="CE89" i="7"/>
  <c r="CF85" i="7"/>
  <c r="CE4" i="7"/>
  <c r="CD7" i="7"/>
  <c r="CF9" i="7"/>
  <c r="CE12" i="7"/>
  <c r="CD15" i="7"/>
  <c r="CF17" i="7"/>
  <c r="CE20" i="7"/>
  <c r="CD23" i="7"/>
  <c r="CF25" i="7"/>
  <c r="CE28" i="7"/>
  <c r="CD31" i="7"/>
  <c r="CF33" i="7"/>
  <c r="CE36" i="7"/>
  <c r="CD39" i="7"/>
  <c r="CF41" i="7"/>
  <c r="CE44" i="7"/>
  <c r="CD47" i="7"/>
  <c r="CF49" i="7"/>
  <c r="CE52" i="7"/>
  <c r="CD55" i="7"/>
  <c r="CF57" i="7"/>
  <c r="CE60" i="7"/>
  <c r="CD63" i="7"/>
  <c r="CF65" i="7"/>
  <c r="CE68" i="7"/>
  <c r="CD71" i="7"/>
  <c r="CF73" i="7"/>
  <c r="CE76" i="7"/>
  <c r="CD79" i="7"/>
  <c r="CF81" i="7"/>
  <c r="CE84" i="7"/>
  <c r="CD87" i="7"/>
  <c r="CF89" i="7"/>
  <c r="CE16" i="7"/>
  <c r="CD43" i="7"/>
  <c r="CE64" i="7"/>
  <c r="CF77" i="7"/>
  <c r="CF4" i="7"/>
  <c r="CE7" i="7"/>
  <c r="CD10" i="7"/>
  <c r="CF12" i="7"/>
  <c r="CE15" i="7"/>
  <c r="CD18" i="7"/>
  <c r="CF20" i="7"/>
  <c r="CE23" i="7"/>
  <c r="CD26" i="7"/>
  <c r="CF28" i="7"/>
  <c r="CE31" i="7"/>
  <c r="CD34" i="7"/>
  <c r="CF36" i="7"/>
  <c r="CE39" i="7"/>
  <c r="CD42" i="7"/>
  <c r="CF44" i="7"/>
  <c r="CE47" i="7"/>
  <c r="CD50" i="7"/>
  <c r="CF52" i="7"/>
  <c r="CE55" i="7"/>
  <c r="CD58" i="7"/>
  <c r="CF60" i="7"/>
  <c r="CE63" i="7"/>
  <c r="CD66" i="7"/>
  <c r="CF68" i="7"/>
  <c r="CE71" i="7"/>
  <c r="CD74" i="7"/>
  <c r="CF76" i="7"/>
  <c r="CE79" i="7"/>
  <c r="CD82" i="7"/>
  <c r="CF84" i="7"/>
  <c r="CE87" i="7"/>
  <c r="CF13" i="7"/>
  <c r="CF53" i="7"/>
  <c r="CD83" i="7"/>
  <c r="CD5" i="7"/>
  <c r="CF7" i="7"/>
  <c r="CE10" i="7"/>
  <c r="CD13" i="7"/>
  <c r="CF15" i="7"/>
  <c r="CE18" i="7"/>
  <c r="CD21" i="7"/>
  <c r="CF23" i="7"/>
  <c r="CE26" i="7"/>
  <c r="CD29" i="7"/>
  <c r="CF31" i="7"/>
  <c r="CE34" i="7"/>
  <c r="CD37" i="7"/>
  <c r="CF39" i="7"/>
  <c r="CE42" i="7"/>
  <c r="CD45" i="7"/>
  <c r="CF47" i="7"/>
  <c r="CE50" i="7"/>
  <c r="CD53" i="7"/>
  <c r="CF55" i="7"/>
  <c r="CE58" i="7"/>
  <c r="CD61" i="7"/>
  <c r="CF63" i="7"/>
  <c r="CE66" i="7"/>
  <c r="CD69" i="7"/>
  <c r="CF71" i="7"/>
  <c r="CE74" i="7"/>
  <c r="CD77" i="7"/>
  <c r="CF79" i="7"/>
  <c r="CE82" i="7"/>
  <c r="CD85" i="7"/>
  <c r="CF87" i="7"/>
  <c r="CF21" i="7"/>
  <c r="CF29" i="7"/>
  <c r="CF37" i="7"/>
  <c r="CE40" i="7"/>
  <c r="CF45" i="7"/>
  <c r="CE48" i="7"/>
  <c r="CD51" i="7"/>
  <c r="CE56" i="7"/>
  <c r="CD67" i="7"/>
  <c r="CF69" i="7"/>
  <c r="CE72" i="7"/>
  <c r="CE80" i="7"/>
  <c r="CE88" i="7"/>
  <c r="CE5" i="7"/>
  <c r="CD8" i="7"/>
  <c r="CF10" i="7"/>
  <c r="CE13" i="7"/>
  <c r="CD16" i="7"/>
  <c r="CF18" i="7"/>
  <c r="CE21" i="7"/>
  <c r="CD24" i="7"/>
  <c r="CF26" i="7"/>
  <c r="CE29" i="7"/>
  <c r="CD32" i="7"/>
  <c r="CF34" i="7"/>
  <c r="CE37" i="7"/>
  <c r="CD40" i="7"/>
  <c r="CF42" i="7"/>
  <c r="CE45" i="7"/>
  <c r="CD48" i="7"/>
  <c r="CF50" i="7"/>
  <c r="CE53" i="7"/>
  <c r="CD56" i="7"/>
  <c r="CF58" i="7"/>
  <c r="CE61" i="7"/>
  <c r="CD64" i="7"/>
  <c r="CF66" i="7"/>
  <c r="CE69" i="7"/>
  <c r="CD72" i="7"/>
  <c r="CF74" i="7"/>
  <c r="CE77" i="7"/>
  <c r="CD80" i="7"/>
  <c r="CF82" i="7"/>
  <c r="CE85" i="7"/>
  <c r="CD88" i="7"/>
  <c r="CE32" i="7"/>
  <c r="CF5" i="7"/>
  <c r="CE8" i="7"/>
  <c r="CD11" i="7"/>
  <c r="CD19" i="7"/>
  <c r="CE24" i="7"/>
  <c r="CD27" i="7"/>
  <c r="CD35" i="7"/>
  <c r="CD59" i="7"/>
  <c r="CD6" i="7"/>
  <c r="CF8" i="7"/>
  <c r="CE11" i="7"/>
  <c r="CD14" i="7"/>
  <c r="CF16" i="7"/>
  <c r="CE19" i="7"/>
  <c r="CD22" i="7"/>
  <c r="CF24" i="7"/>
  <c r="CE27" i="7"/>
  <c r="CD30" i="7"/>
  <c r="CF32" i="7"/>
  <c r="CE35" i="7"/>
  <c r="CD38" i="7"/>
  <c r="CF40" i="7"/>
  <c r="CE43" i="7"/>
  <c r="CD46" i="7"/>
  <c r="CF48" i="7"/>
  <c r="CE51" i="7"/>
  <c r="CD54" i="7"/>
  <c r="CF56" i="7"/>
  <c r="CE59" i="7"/>
  <c r="CD62" i="7"/>
  <c r="CF64" i="7"/>
  <c r="CE67" i="7"/>
  <c r="CD70" i="7"/>
  <c r="CF72" i="7"/>
  <c r="CE75" i="7"/>
  <c r="CD78" i="7"/>
  <c r="CF80" i="7"/>
  <c r="CE83" i="7"/>
  <c r="CD86" i="7"/>
  <c r="CF88" i="7"/>
  <c r="CE78" i="7"/>
  <c r="CF83" i="7"/>
  <c r="CE86" i="7"/>
  <c r="CD89" i="7"/>
  <c r="CF61" i="7"/>
  <c r="CD75" i="7"/>
  <c r="BR23" i="7"/>
  <c r="BR29" i="7" s="1" a="1"/>
  <c r="BR29" i="7" s="1"/>
  <c r="BS23" i="7"/>
  <c r="BS29" i="7" s="1" a="1"/>
  <c r="BS29" i="7" s="1"/>
  <c r="BQ24" i="7"/>
  <c r="BQ25" i="7"/>
  <c r="BQ26" i="7"/>
  <c r="BQ27" i="7"/>
  <c r="BQ28" i="7"/>
  <c r="BR14" i="7"/>
  <c r="BS14" i="7"/>
  <c r="BQ17" i="7"/>
  <c r="BQ15" i="7"/>
  <c r="BQ19" i="7"/>
  <c r="BQ16" i="7"/>
  <c r="BQ18" i="7"/>
  <c r="BR5" i="7"/>
  <c r="BS5" i="7"/>
  <c r="BQ6" i="7"/>
  <c r="BQ7" i="7"/>
  <c r="BQ8" i="7"/>
  <c r="BQ10" i="7"/>
  <c r="BQ9" i="7"/>
  <c r="CP24" i="7"/>
  <c r="CP25" i="7" s="1"/>
  <c r="CP27" i="7"/>
  <c r="CP26" i="7"/>
  <c r="BR7" i="7" l="1" a="1"/>
  <c r="BR7" i="7" s="1"/>
  <c r="BS7" i="7" a="1"/>
  <c r="BS7" i="7" s="1"/>
  <c r="BS28" i="7" a="1"/>
  <c r="BS28" i="7" s="1"/>
  <c r="BT28" i="7" a="1"/>
  <c r="BT28" i="7" s="1"/>
  <c r="BR28" i="7" a="1"/>
  <c r="BR28" i="7" s="1"/>
  <c r="BR17" i="7" a="1"/>
  <c r="BR17" i="7" s="1"/>
  <c r="BS17" i="7" a="1"/>
  <c r="BS17" i="7" s="1"/>
  <c r="BS18" i="7" a="1"/>
  <c r="BS18" i="7" s="1"/>
  <c r="BR18" i="7" a="1"/>
  <c r="BR18" i="7" s="1"/>
  <c r="BS6" i="7" a="1"/>
  <c r="BS6" i="7" s="1"/>
  <c r="BR6" i="7" a="1"/>
  <c r="BR6" i="7" s="1"/>
  <c r="BR27" i="7" a="1"/>
  <c r="BR27" i="7" s="1"/>
  <c r="BT27" i="7" a="1"/>
  <c r="BT27" i="7" s="1"/>
  <c r="BS27" i="7" a="1"/>
  <c r="BS27" i="7" s="1"/>
  <c r="BS9" i="7" a="1"/>
  <c r="BS9" i="7" s="1"/>
  <c r="BR9" i="7" a="1"/>
  <c r="BR9" i="7" s="1"/>
  <c r="BR16" i="7" a="1"/>
  <c r="BR16" i="7" s="1"/>
  <c r="BS16" i="7" a="1"/>
  <c r="BS16" i="7" s="1"/>
  <c r="BR26" i="7" a="1"/>
  <c r="BR26" i="7" s="1"/>
  <c r="BS26" i="7" a="1"/>
  <c r="BS26" i="7" s="1"/>
  <c r="BT26" i="7" a="1"/>
  <c r="BT26" i="7" s="1"/>
  <c r="BR10" i="7" a="1"/>
  <c r="BR10" i="7" s="1"/>
  <c r="BS10" i="7" a="1"/>
  <c r="BS10" i="7" s="1"/>
  <c r="BR19" i="7" a="1"/>
  <c r="BR19" i="7" s="1"/>
  <c r="BS19" i="7" a="1"/>
  <c r="BS19" i="7" s="1"/>
  <c r="BS25" i="7" a="1"/>
  <c r="BS25" i="7" s="1"/>
  <c r="BT25" i="7" a="1"/>
  <c r="BT25" i="7" s="1"/>
  <c r="BR25" i="7" a="1"/>
  <c r="BR25" i="7" s="1"/>
  <c r="BS8" i="7" a="1"/>
  <c r="BS8" i="7" s="1"/>
  <c r="BR8" i="7" a="1"/>
  <c r="BR8" i="7" s="1"/>
  <c r="BS15" i="7" a="1"/>
  <c r="BS15" i="7" s="1"/>
  <c r="BR15" i="7" a="1"/>
  <c r="BR15" i="7" s="1"/>
  <c r="BR24" i="7" a="1"/>
  <c r="BR24" i="7" s="1"/>
  <c r="BT24" i="7" a="1"/>
  <c r="BT24" i="7" s="1"/>
  <c r="BS24" i="7" a="1"/>
  <c r="BS24" i="7" s="1"/>
  <c r="BS20" i="7" l="1" a="1"/>
  <c r="BT18" i="7" a="1"/>
  <c r="BT18" i="7" s="1"/>
  <c r="BT8" i="7" a="1"/>
  <c r="BT8" i="7" s="1"/>
  <c r="BS20" i="7"/>
  <c r="BW9" i="7"/>
  <c r="BT15" i="7" a="1"/>
  <c r="BT15" i="7" s="1"/>
  <c r="BR20" i="7" a="1"/>
  <c r="BR20" i="7" s="1"/>
  <c r="BT19" i="7" a="1"/>
  <c r="BT19" i="7" s="1"/>
  <c r="BT9" i="7" a="1"/>
  <c r="BT9" i="7" s="1"/>
  <c r="BT10" i="7" a="1"/>
  <c r="BT10" i="7" s="1"/>
  <c r="BT17" i="7" a="1"/>
  <c r="BT17" i="7" s="1"/>
  <c r="BT6" i="7" a="1"/>
  <c r="BT6" i="7" s="1"/>
  <c r="BR4" i="7"/>
  <c r="BR11" i="7" a="1"/>
  <c r="BR11" i="7" s="1"/>
  <c r="BS11" i="7" a="1"/>
  <c r="BS11" i="7" s="1"/>
  <c r="BT16" i="7" a="1"/>
  <c r="BT16" i="7" s="1"/>
  <c r="BT7" i="7" a="1"/>
  <c r="BT7" i="7" s="1"/>
  <c r="BT11" i="7" l="1" a="1"/>
  <c r="BT11" i="7" s="1"/>
  <c r="BX10" i="7" s="1"/>
  <c r="BW10" i="7" s="1"/>
  <c r="BX7" i="7"/>
  <c r="BW7" i="7"/>
  <c r="BT20" i="7" a="1"/>
  <c r="BT20" i="7" s="1"/>
  <c r="BX6" i="7"/>
  <c r="BW6" i="7"/>
  <c r="BY6" i="7" l="1"/>
  <c r="CB6" i="7"/>
  <c r="BY7" i="7"/>
  <c r="CB7" i="7"/>
  <c r="BX8" i="7"/>
  <c r="BX9" i="7" s="1"/>
  <c r="BY9" i="7" s="1"/>
  <c r="BZ6" i="7" s="1"/>
  <c r="CA6" i="7" s="1"/>
  <c r="BW8" i="7"/>
  <c r="CB8" i="7" l="1"/>
  <c r="BY8" i="7"/>
  <c r="BZ8" i="7" s="1"/>
  <c r="CA8" i="7" s="1"/>
  <c r="BZ7" i="7"/>
  <c r="CA7" i="7" s="1"/>
  <c r="AB144" i="7" l="1"/>
  <c r="AC144" i="7"/>
  <c r="AD144" i="7"/>
  <c r="AE144" i="7"/>
  <c r="AA144" i="7"/>
  <c r="U145" i="7"/>
  <c r="V145" i="7"/>
  <c r="W145" i="7"/>
  <c r="X145" i="7"/>
  <c r="U146" i="7"/>
  <c r="V146" i="7"/>
  <c r="W146" i="7"/>
  <c r="X146" i="7"/>
  <c r="U147" i="7"/>
  <c r="V147" i="7"/>
  <c r="W147" i="7"/>
  <c r="X147" i="7"/>
  <c r="U148" i="7"/>
  <c r="V148" i="7"/>
  <c r="W148" i="7"/>
  <c r="X148" i="7"/>
  <c r="U149" i="7"/>
  <c r="V149" i="7"/>
  <c r="W149" i="7"/>
  <c r="X149" i="7"/>
  <c r="U150" i="7"/>
  <c r="V150" i="7"/>
  <c r="W150" i="7"/>
  <c r="X150" i="7"/>
  <c r="U151" i="7"/>
  <c r="V151" i="7"/>
  <c r="W151" i="7"/>
  <c r="X151" i="7"/>
  <c r="U152" i="7"/>
  <c r="V152" i="7"/>
  <c r="W152" i="7"/>
  <c r="X152" i="7"/>
  <c r="U154" i="7"/>
  <c r="V154" i="7"/>
  <c r="W154" i="7"/>
  <c r="X154" i="7"/>
  <c r="U155" i="7"/>
  <c r="V155" i="7"/>
  <c r="W155" i="7"/>
  <c r="X155" i="7"/>
  <c r="U156" i="7"/>
  <c r="V156" i="7"/>
  <c r="W156" i="7"/>
  <c r="X156" i="7"/>
  <c r="U157" i="7"/>
  <c r="V157" i="7"/>
  <c r="W157" i="7"/>
  <c r="X157" i="7"/>
  <c r="U158" i="7"/>
  <c r="V158" i="7"/>
  <c r="W158" i="7"/>
  <c r="X158" i="7"/>
  <c r="U159" i="7"/>
  <c r="V159" i="7"/>
  <c r="W159" i="7"/>
  <c r="X159" i="7"/>
  <c r="U160" i="7"/>
  <c r="V160" i="7"/>
  <c r="W160" i="7"/>
  <c r="X160" i="7"/>
  <c r="T160" i="7"/>
  <c r="T159" i="7"/>
  <c r="T158" i="7"/>
  <c r="T157" i="7"/>
  <c r="T156" i="7"/>
  <c r="T155" i="7"/>
  <c r="T154" i="7"/>
  <c r="T152" i="7"/>
  <c r="T151" i="7"/>
  <c r="T150" i="7"/>
  <c r="T149" i="7"/>
  <c r="T148" i="7"/>
  <c r="T147" i="7"/>
  <c r="T146" i="7"/>
  <c r="T145" i="7"/>
  <c r="U144" i="7"/>
  <c r="V144" i="7"/>
  <c r="W144" i="7"/>
  <c r="X144" i="7"/>
  <c r="T144" i="7"/>
  <c r="BB17" i="7"/>
  <c r="AV33" i="7" s="1"/>
  <c r="BB16" i="7"/>
  <c r="AT17" i="7"/>
  <c r="AT18" i="7"/>
  <c r="AT19" i="7"/>
  <c r="AT20" i="7"/>
  <c r="AT16" i="7"/>
  <c r="AS21" i="7"/>
  <c r="AR21" i="7"/>
  <c r="AR17" i="7"/>
  <c r="AS17" i="7"/>
  <c r="AR18" i="7"/>
  <c r="AS18" i="7"/>
  <c r="AR19" i="7"/>
  <c r="AS19" i="7"/>
  <c r="AR20" i="7"/>
  <c r="AS20" i="7"/>
  <c r="AS16" i="7"/>
  <c r="AR16" i="7"/>
  <c r="AR15" i="7" a="1"/>
  <c r="AR15" i="7" s="1"/>
  <c r="AL24" i="7"/>
  <c r="AK24" i="7"/>
  <c r="Z45" i="7"/>
  <c r="Y45" i="7"/>
  <c r="AA31" i="7"/>
  <c r="Z29" i="7"/>
  <c r="Y29" i="7"/>
  <c r="AA15" i="7"/>
  <c r="P280" i="6"/>
  <c r="O280" i="6"/>
  <c r="L281" i="6"/>
  <c r="L282" i="6"/>
  <c r="L283" i="6"/>
  <c r="L284" i="6"/>
  <c r="L285" i="6"/>
  <c r="L286" i="6"/>
  <c r="L287" i="6"/>
  <c r="L288" i="6"/>
  <c r="L290" i="6"/>
  <c r="L289" i="6" s="1"/>
  <c r="L291" i="6"/>
  <c r="L292" i="6"/>
  <c r="L293" i="6"/>
  <c r="L294" i="6"/>
  <c r="L295" i="6"/>
  <c r="L296" i="6"/>
  <c r="K296" i="6"/>
  <c r="K295" i="6"/>
  <c r="K294" i="6"/>
  <c r="K293" i="6"/>
  <c r="K292" i="6"/>
  <c r="K291" i="6"/>
  <c r="K290" i="6"/>
  <c r="K288" i="6"/>
  <c r="K287" i="6"/>
  <c r="K286" i="6"/>
  <c r="K285" i="6"/>
  <c r="K284" i="6"/>
  <c r="K283" i="6"/>
  <c r="K282" i="6"/>
  <c r="K281" i="6"/>
  <c r="L280" i="6"/>
  <c r="K280" i="6"/>
  <c r="E413" i="6"/>
  <c r="E412" i="6"/>
  <c r="E411" i="6"/>
  <c r="E410" i="6"/>
  <c r="E409" i="6"/>
  <c r="E408" i="6"/>
  <c r="E407" i="6"/>
  <c r="E406" i="6"/>
  <c r="E405" i="6"/>
  <c r="E404" i="6"/>
  <c r="E403" i="6"/>
  <c r="E402" i="6"/>
  <c r="E401" i="6"/>
  <c r="E400" i="6"/>
  <c r="E399" i="6"/>
  <c r="E398" i="6"/>
  <c r="E397" i="6"/>
  <c r="E396" i="6"/>
  <c r="E395" i="6"/>
  <c r="E394" i="6"/>
  <c r="E393" i="6"/>
  <c r="E392" i="6"/>
  <c r="E391" i="6"/>
  <c r="E390" i="6"/>
  <c r="E389" i="6"/>
  <c r="E388" i="6"/>
  <c r="E387" i="6"/>
  <c r="E386" i="6"/>
  <c r="E385" i="6"/>
  <c r="E384" i="6"/>
  <c r="E383" i="6"/>
  <c r="E382" i="6"/>
  <c r="E381" i="6"/>
  <c r="E380" i="6"/>
  <c r="E379" i="6"/>
  <c r="E378" i="6"/>
  <c r="E377" i="6"/>
  <c r="E376" i="6"/>
  <c r="E375" i="6"/>
  <c r="E374" i="6"/>
  <c r="E373" i="6"/>
  <c r="E372" i="6"/>
  <c r="E371" i="6"/>
  <c r="E370" i="6"/>
  <c r="E369" i="6"/>
  <c r="E368" i="6"/>
  <c r="E367" i="6"/>
  <c r="E366" i="6"/>
  <c r="E365" i="6"/>
  <c r="E364" i="6"/>
  <c r="E363" i="6"/>
  <c r="E362" i="6"/>
  <c r="E361" i="6"/>
  <c r="E360" i="6"/>
  <c r="E359" i="6"/>
  <c r="E358" i="6"/>
  <c r="E357" i="6"/>
  <c r="E356" i="6"/>
  <c r="E355" i="6"/>
  <c r="E354" i="6"/>
  <c r="E353" i="6"/>
  <c r="E352" i="6"/>
  <c r="E351" i="6"/>
  <c r="E350" i="6"/>
  <c r="E349" i="6"/>
  <c r="E348" i="6"/>
  <c r="E347" i="6"/>
  <c r="E346" i="6"/>
  <c r="E345" i="6"/>
  <c r="E344" i="6"/>
  <c r="E343" i="6"/>
  <c r="E342" i="6"/>
  <c r="E341" i="6"/>
  <c r="E340" i="6"/>
  <c r="E339" i="6"/>
  <c r="E338" i="6"/>
  <c r="E337" i="6"/>
  <c r="E336" i="6"/>
  <c r="E335" i="6"/>
  <c r="E334" i="6"/>
  <c r="E333" i="6"/>
  <c r="E332" i="6"/>
  <c r="E331" i="6"/>
  <c r="E330" i="6"/>
  <c r="E329" i="6"/>
  <c r="E328" i="6"/>
  <c r="E327" i="6"/>
  <c r="E326" i="6"/>
  <c r="E325" i="6"/>
  <c r="E324" i="6"/>
  <c r="E323" i="6"/>
  <c r="E322" i="6"/>
  <c r="E321" i="6"/>
  <c r="E320" i="6"/>
  <c r="E319" i="6"/>
  <c r="E318" i="6"/>
  <c r="E317" i="6"/>
  <c r="E316" i="6"/>
  <c r="E315" i="6"/>
  <c r="E314" i="6"/>
  <c r="E313" i="6"/>
  <c r="E312" i="6"/>
  <c r="E311" i="6"/>
  <c r="E310" i="6"/>
  <c r="E309" i="6"/>
  <c r="E308" i="6"/>
  <c r="E307" i="6"/>
  <c r="E306" i="6"/>
  <c r="E305" i="6"/>
  <c r="E304" i="6"/>
  <c r="E303" i="6"/>
  <c r="E302" i="6"/>
  <c r="E301" i="6"/>
  <c r="E300" i="6"/>
  <c r="E299" i="6"/>
  <c r="E298" i="6"/>
  <c r="E297" i="6"/>
  <c r="E296" i="6"/>
  <c r="E295" i="6"/>
  <c r="E294" i="6"/>
  <c r="E293" i="6"/>
  <c r="E292" i="6"/>
  <c r="E291" i="6"/>
  <c r="E290" i="6"/>
  <c r="E289" i="6"/>
  <c r="E288" i="6"/>
  <c r="E287" i="6"/>
  <c r="E286" i="6"/>
  <c r="E285" i="6"/>
  <c r="E284" i="6"/>
  <c r="E283" i="6"/>
  <c r="E282" i="6"/>
  <c r="E281" i="6"/>
  <c r="E280" i="6"/>
  <c r="E279" i="6"/>
  <c r="E274" i="6"/>
  <c r="E273" i="6"/>
  <c r="E272" i="6"/>
  <c r="E271" i="6"/>
  <c r="E270" i="6"/>
  <c r="E269" i="6"/>
  <c r="E268" i="6"/>
  <c r="E267" i="6"/>
  <c r="E266" i="6"/>
  <c r="E265" i="6"/>
  <c r="E264" i="6"/>
  <c r="E263" i="6"/>
  <c r="E262" i="6"/>
  <c r="E261" i="6"/>
  <c r="E260" i="6"/>
  <c r="E259" i="6"/>
  <c r="E258" i="6"/>
  <c r="E257" i="6"/>
  <c r="E256" i="6"/>
  <c r="E255" i="6"/>
  <c r="E254" i="6"/>
  <c r="E253" i="6"/>
  <c r="E252" i="6"/>
  <c r="E251" i="6"/>
  <c r="E250" i="6"/>
  <c r="E249" i="6"/>
  <c r="E248" i="6"/>
  <c r="E247" i="6"/>
  <c r="E246" i="6"/>
  <c r="E245" i="6"/>
  <c r="E244" i="6"/>
  <c r="E243" i="6"/>
  <c r="E242" i="6"/>
  <c r="E241" i="6"/>
  <c r="E240" i="6"/>
  <c r="E239" i="6"/>
  <c r="E238" i="6"/>
  <c r="E237" i="6"/>
  <c r="E236" i="6"/>
  <c r="E235" i="6"/>
  <c r="E234" i="6"/>
  <c r="E233" i="6"/>
  <c r="E232" i="6"/>
  <c r="E231" i="6"/>
  <c r="E230" i="6"/>
  <c r="E229" i="6"/>
  <c r="E228" i="6"/>
  <c r="E227" i="6"/>
  <c r="E226" i="6"/>
  <c r="E225" i="6"/>
  <c r="E224" i="6"/>
  <c r="E223" i="6"/>
  <c r="E222" i="6"/>
  <c r="E221" i="6"/>
  <c r="E220" i="6"/>
  <c r="E219" i="6"/>
  <c r="E218" i="6"/>
  <c r="E217" i="6"/>
  <c r="E216" i="6"/>
  <c r="E215" i="6"/>
  <c r="E214" i="6"/>
  <c r="E213" i="6"/>
  <c r="E212" i="6"/>
  <c r="E211" i="6"/>
  <c r="E210" i="6"/>
  <c r="E209" i="6"/>
  <c r="E208" i="6"/>
  <c r="E207" i="6"/>
  <c r="E206" i="6"/>
  <c r="E205" i="6"/>
  <c r="E204" i="6"/>
  <c r="E203" i="6"/>
  <c r="E202" i="6"/>
  <c r="E201" i="6"/>
  <c r="E200" i="6"/>
  <c r="E199" i="6"/>
  <c r="E198" i="6"/>
  <c r="E197" i="6"/>
  <c r="E196" i="6"/>
  <c r="E195" i="6"/>
  <c r="E194" i="6"/>
  <c r="E193" i="6"/>
  <c r="E192" i="6"/>
  <c r="E191" i="6"/>
  <c r="E190" i="6"/>
  <c r="E189" i="6"/>
  <c r="E188" i="6"/>
  <c r="E187" i="6"/>
  <c r="E186" i="6"/>
  <c r="E185" i="6"/>
  <c r="E184" i="6"/>
  <c r="E183" i="6"/>
  <c r="E182" i="6"/>
  <c r="E181" i="6"/>
  <c r="E180" i="6"/>
  <c r="E179" i="6"/>
  <c r="E178" i="6"/>
  <c r="E177" i="6"/>
  <c r="E176" i="6"/>
  <c r="E175" i="6"/>
  <c r="E174" i="6"/>
  <c r="E173" i="6"/>
  <c r="E172" i="6"/>
  <c r="E171" i="6"/>
  <c r="E170" i="6"/>
  <c r="E169" i="6"/>
  <c r="E168" i="6"/>
  <c r="E167" i="6"/>
  <c r="E166" i="6"/>
  <c r="E165" i="6"/>
  <c r="E164" i="6"/>
  <c r="E163" i="6"/>
  <c r="E162" i="6"/>
  <c r="E161" i="6"/>
  <c r="E160" i="6"/>
  <c r="E159" i="6"/>
  <c r="E158" i="6"/>
  <c r="E157" i="6"/>
  <c r="E156" i="6"/>
  <c r="E155" i="6"/>
  <c r="E154" i="6"/>
  <c r="E153" i="6"/>
  <c r="E152" i="6"/>
  <c r="E151" i="6"/>
  <c r="E150" i="6"/>
  <c r="E149" i="6"/>
  <c r="E148" i="6"/>
  <c r="E147" i="6"/>
  <c r="E146" i="6"/>
  <c r="E145" i="6"/>
  <c r="E144" i="6"/>
  <c r="E143" i="6"/>
  <c r="E142" i="6"/>
  <c r="E141" i="6"/>
  <c r="E140" i="6"/>
  <c r="BB17" i="6"/>
  <c r="AV33" i="6" s="1"/>
  <c r="BB16" i="6"/>
  <c r="AT17" i="6"/>
  <c r="AT18" i="6"/>
  <c r="AT19" i="6"/>
  <c r="AT20" i="6"/>
  <c r="AT16" i="6"/>
  <c r="AT23" i="6" s="1"/>
  <c r="AS21" i="6"/>
  <c r="AR21" i="6"/>
  <c r="AR17" i="6"/>
  <c r="AS17" i="6"/>
  <c r="AR18" i="6"/>
  <c r="AS18" i="6"/>
  <c r="AR19" i="6"/>
  <c r="AS19" i="6"/>
  <c r="AR20" i="6"/>
  <c r="AS20" i="6"/>
  <c r="AS16" i="6"/>
  <c r="AR16" i="6"/>
  <c r="AR15" i="6" a="1"/>
  <c r="AR15" i="6" s="1"/>
  <c r="AL24" i="6"/>
  <c r="AK24" i="6"/>
  <c r="Z45" i="6"/>
  <c r="Y45" i="6"/>
  <c r="AA31" i="6"/>
  <c r="Z29" i="6"/>
  <c r="Y29" i="6"/>
  <c r="AA29" i="6" s="1"/>
  <c r="AA15" i="6"/>
  <c r="U162" i="7"/>
  <c r="U32" i="6" a="1"/>
  <c r="AD152" i="7"/>
  <c r="O288" i="6"/>
  <c r="K18" i="6"/>
  <c r="AK16" i="7" a="1"/>
  <c r="AO17" i="6"/>
  <c r="L16" i="7"/>
  <c r="R24" i="6" a="1"/>
  <c r="AC153" i="7"/>
  <c r="O282" i="6"/>
  <c r="AO18" i="7"/>
  <c r="K19" i="6"/>
  <c r="K19" i="7"/>
  <c r="AO15" i="7"/>
  <c r="T162" i="7"/>
  <c r="X35" i="7" a="1"/>
  <c r="U32" i="7" a="1"/>
  <c r="X35" i="6" a="1"/>
  <c r="U20" i="7" a="1"/>
  <c r="L298" i="6"/>
  <c r="AA145" i="7"/>
  <c r="V162" i="7"/>
  <c r="AD146" i="7"/>
  <c r="U20" i="6" a="1"/>
  <c r="AO18" i="6"/>
  <c r="U36" i="6" a="1"/>
  <c r="AO17" i="7"/>
  <c r="N18" i="6"/>
  <c r="AB145" i="7"/>
  <c r="K297" i="6"/>
  <c r="W161" i="7"/>
  <c r="U28" i="7" a="1"/>
  <c r="AB153" i="7"/>
  <c r="P282" i="6"/>
  <c r="M17" i="6"/>
  <c r="AE145" i="7"/>
  <c r="X19" i="6" a="1"/>
  <c r="X19" i="7" a="1"/>
  <c r="K17" i="6"/>
  <c r="O289" i="6"/>
  <c r="L17" i="7"/>
  <c r="AE152" i="7"/>
  <c r="U16" i="7" a="1"/>
  <c r="AC152" i="7"/>
  <c r="AB152" i="7"/>
  <c r="L16" i="6"/>
  <c r="N17" i="6"/>
  <c r="L297" i="6"/>
  <c r="AA153" i="7"/>
  <c r="J142" i="6" a="1"/>
  <c r="R16" i="6" a="1"/>
  <c r="AO16" i="6"/>
  <c r="AO15" i="6"/>
  <c r="X162" i="7"/>
  <c r="M16" i="6"/>
  <c r="U36" i="7" a="1"/>
  <c r="U40" i="7" a="1"/>
  <c r="N16" i="6"/>
  <c r="AA146" i="7"/>
  <c r="Z43" i="6"/>
  <c r="N17" i="7"/>
  <c r="M18" i="7"/>
  <c r="AD145" i="7"/>
  <c r="AO19" i="6"/>
  <c r="AD153" i="7"/>
  <c r="V161" i="7"/>
  <c r="AB146" i="7"/>
  <c r="R24" i="7" a="1"/>
  <c r="K298" i="6"/>
  <c r="L18" i="6"/>
  <c r="U16" i="6" a="1"/>
  <c r="P288" i="6"/>
  <c r="P289" i="6"/>
  <c r="AC145" i="7"/>
  <c r="O281" i="6"/>
  <c r="AE146" i="7"/>
  <c r="AK16" i="6" a="1"/>
  <c r="K16" i="6"/>
  <c r="K18" i="7"/>
  <c r="N16" i="7"/>
  <c r="L18" i="7"/>
  <c r="K16" i="7"/>
  <c r="R16" i="7" a="1"/>
  <c r="AA152" i="7"/>
  <c r="W162" i="7"/>
  <c r="U24" i="6" a="1"/>
  <c r="U40" i="6" a="1"/>
  <c r="M16" i="7"/>
  <c r="O16" i="7" s="1"/>
  <c r="U161" i="7"/>
  <c r="Z27" i="6"/>
  <c r="AO19" i="7"/>
  <c r="T161" i="7"/>
  <c r="J280" i="7" a="1"/>
  <c r="M17" i="7"/>
  <c r="O17" i="7"/>
  <c r="U28" i="6" a="1"/>
  <c r="AO16" i="7"/>
  <c r="P281" i="6"/>
  <c r="L17" i="6"/>
  <c r="K17" i="7"/>
  <c r="Z43" i="7"/>
  <c r="AE153" i="7"/>
  <c r="N18" i="7"/>
  <c r="O18" i="7" s="1"/>
  <c r="U24" i="7" a="1"/>
  <c r="AC146" i="7"/>
  <c r="M18" i="6"/>
  <c r="O18" i="6" s="1"/>
  <c r="Z27" i="7"/>
  <c r="X161" i="7"/>
  <c r="O291" i="6" l="1"/>
  <c r="O284" i="6"/>
  <c r="AR24" i="7"/>
  <c r="W153" i="7"/>
  <c r="T153" i="7"/>
  <c r="V153" i="7"/>
  <c r="AA45" i="7"/>
  <c r="AA148" i="7"/>
  <c r="AA155" i="7"/>
  <c r="U153" i="7"/>
  <c r="AT21" i="7"/>
  <c r="AA29" i="7"/>
  <c r="X153" i="7"/>
  <c r="AE155" i="7"/>
  <c r="AD155" i="7"/>
  <c r="AC155" i="7"/>
  <c r="AB155" i="7"/>
  <c r="AE148" i="7"/>
  <c r="AD148" i="7"/>
  <c r="AC148" i="7"/>
  <c r="AB148" i="7"/>
  <c r="AS24" i="7"/>
  <c r="AT23" i="7"/>
  <c r="BB19" i="7"/>
  <c r="P16" i="7"/>
  <c r="P17" i="7"/>
  <c r="P18" i="7"/>
  <c r="BB18" i="7"/>
  <c r="AV34" i="7" s="1"/>
  <c r="AV35" i="7" s="1"/>
  <c r="Z28" i="7"/>
  <c r="Z44" i="7"/>
  <c r="AS15" i="7"/>
  <c r="AK16" i="7"/>
  <c r="AL16" i="7"/>
  <c r="AK17" i="7"/>
  <c r="AL17" i="7"/>
  <c r="X35" i="7"/>
  <c r="X36" i="7"/>
  <c r="X37" i="7"/>
  <c r="X38" i="7"/>
  <c r="X39" i="7"/>
  <c r="X19" i="7"/>
  <c r="X20" i="7"/>
  <c r="X21" i="7"/>
  <c r="X22" i="7"/>
  <c r="X23" i="7"/>
  <c r="U40" i="7"/>
  <c r="V40" i="7"/>
  <c r="U41" i="7"/>
  <c r="V41" i="7"/>
  <c r="U36" i="7"/>
  <c r="V36" i="7"/>
  <c r="U37" i="7"/>
  <c r="V37" i="7"/>
  <c r="U32" i="7"/>
  <c r="V32" i="7"/>
  <c r="U33" i="7"/>
  <c r="V33" i="7"/>
  <c r="U28" i="7"/>
  <c r="V28" i="7"/>
  <c r="U29" i="7"/>
  <c r="V29" i="7"/>
  <c r="U24" i="7"/>
  <c r="V24" i="7"/>
  <c r="U25" i="7"/>
  <c r="V25" i="7"/>
  <c r="U20" i="7"/>
  <c r="V20" i="7"/>
  <c r="U21" i="7"/>
  <c r="V21" i="7"/>
  <c r="U16" i="7"/>
  <c r="V16" i="7"/>
  <c r="U17" i="7"/>
  <c r="V17" i="7"/>
  <c r="R24" i="7"/>
  <c r="S24" i="7"/>
  <c r="R25" i="7"/>
  <c r="S25" i="7"/>
  <c r="R16" i="7"/>
  <c r="S16" i="7"/>
  <c r="R17" i="7"/>
  <c r="S17" i="7"/>
  <c r="L281" i="7"/>
  <c r="J283" i="7"/>
  <c r="M284" i="7"/>
  <c r="K286" i="7"/>
  <c r="N287" i="7"/>
  <c r="L289" i="7"/>
  <c r="J291" i="7"/>
  <c r="M292" i="7"/>
  <c r="K294" i="7"/>
  <c r="N295" i="7"/>
  <c r="L297" i="7"/>
  <c r="J299" i="7"/>
  <c r="M300" i="7"/>
  <c r="K302" i="7"/>
  <c r="N303" i="7"/>
  <c r="L305" i="7"/>
  <c r="J307" i="7"/>
  <c r="J280" i="7"/>
  <c r="M281" i="7"/>
  <c r="K283" i="7"/>
  <c r="N284" i="7"/>
  <c r="L286" i="7"/>
  <c r="J288" i="7"/>
  <c r="M289" i="7"/>
  <c r="K291" i="7"/>
  <c r="N292" i="7"/>
  <c r="L294" i="7"/>
  <c r="J296" i="7"/>
  <c r="M297" i="7"/>
  <c r="K299" i="7"/>
  <c r="N300" i="7"/>
  <c r="L302" i="7"/>
  <c r="J304" i="7"/>
  <c r="M305" i="7"/>
  <c r="K307" i="7"/>
  <c r="K280" i="7"/>
  <c r="N281" i="7"/>
  <c r="L283" i="7"/>
  <c r="J285" i="7"/>
  <c r="M286" i="7"/>
  <c r="K288" i="7"/>
  <c r="N289" i="7"/>
  <c r="L291" i="7"/>
  <c r="J293" i="7"/>
  <c r="M294" i="7"/>
  <c r="K296" i="7"/>
  <c r="N297" i="7"/>
  <c r="L299" i="7"/>
  <c r="J301" i="7"/>
  <c r="M302" i="7"/>
  <c r="K304" i="7"/>
  <c r="N305" i="7"/>
  <c r="L307" i="7"/>
  <c r="L280" i="7"/>
  <c r="J282" i="7"/>
  <c r="M283" i="7"/>
  <c r="K285" i="7"/>
  <c r="N286" i="7"/>
  <c r="L288" i="7"/>
  <c r="J290" i="7"/>
  <c r="M291" i="7"/>
  <c r="K293" i="7"/>
  <c r="N294" i="7"/>
  <c r="L296" i="7"/>
  <c r="J298" i="7"/>
  <c r="M299" i="7"/>
  <c r="K301" i="7"/>
  <c r="N302" i="7"/>
  <c r="L304" i="7"/>
  <c r="J306" i="7"/>
  <c r="M307" i="7"/>
  <c r="M280" i="7"/>
  <c r="K282" i="7"/>
  <c r="N283" i="7"/>
  <c r="L285" i="7"/>
  <c r="J287" i="7"/>
  <c r="M288" i="7"/>
  <c r="K290" i="7"/>
  <c r="N291" i="7"/>
  <c r="L293" i="7"/>
  <c r="J295" i="7"/>
  <c r="M296" i="7"/>
  <c r="K298" i="7"/>
  <c r="N299" i="7"/>
  <c r="L301" i="7"/>
  <c r="J303" i="7"/>
  <c r="M304" i="7"/>
  <c r="K306" i="7"/>
  <c r="N307" i="7"/>
  <c r="N280" i="7"/>
  <c r="L282" i="7"/>
  <c r="J284" i="7"/>
  <c r="M285" i="7"/>
  <c r="K287" i="7"/>
  <c r="N288" i="7"/>
  <c r="L290" i="7"/>
  <c r="J292" i="7"/>
  <c r="M293" i="7"/>
  <c r="K295" i="7"/>
  <c r="N296" i="7"/>
  <c r="L298" i="7"/>
  <c r="J300" i="7"/>
  <c r="M301" i="7"/>
  <c r="K303" i="7"/>
  <c r="N304" i="7"/>
  <c r="L306" i="7"/>
  <c r="J281" i="7"/>
  <c r="M282" i="7"/>
  <c r="K284" i="7"/>
  <c r="N285" i="7"/>
  <c r="L287" i="7"/>
  <c r="J289" i="7"/>
  <c r="M290" i="7"/>
  <c r="K292" i="7"/>
  <c r="N293" i="7"/>
  <c r="L295" i="7"/>
  <c r="J297" i="7"/>
  <c r="M298" i="7"/>
  <c r="K300" i="7"/>
  <c r="N301" i="7"/>
  <c r="L303" i="7"/>
  <c r="J305" i="7"/>
  <c r="M306" i="7"/>
  <c r="K281" i="7"/>
  <c r="N282" i="7"/>
  <c r="L284" i="7"/>
  <c r="J286" i="7"/>
  <c r="M287" i="7"/>
  <c r="K289" i="7"/>
  <c r="N290" i="7"/>
  <c r="L292" i="7"/>
  <c r="J294" i="7"/>
  <c r="M295" i="7"/>
  <c r="K297" i="7"/>
  <c r="N298" i="7"/>
  <c r="L300" i="7"/>
  <c r="J302" i="7"/>
  <c r="M303" i="7"/>
  <c r="K305" i="7"/>
  <c r="N306" i="7"/>
  <c r="P291" i="6"/>
  <c r="P284" i="6"/>
  <c r="K289" i="6"/>
  <c r="AS24" i="6"/>
  <c r="AR24" i="6"/>
  <c r="AX16" i="6" s="1" a="1"/>
  <c r="AX16" i="6" s="1"/>
  <c r="P16" i="6"/>
  <c r="P17" i="6"/>
  <c r="P18" i="6"/>
  <c r="Z28" i="6"/>
  <c r="BB18" i="6"/>
  <c r="BB20" i="6" s="1"/>
  <c r="AT21" i="6"/>
  <c r="BB19" i="6"/>
  <c r="Z44" i="6"/>
  <c r="AA45" i="6"/>
  <c r="L143" i="6"/>
  <c r="J145" i="6"/>
  <c r="M146" i="6"/>
  <c r="K148" i="6"/>
  <c r="N149" i="6"/>
  <c r="L151" i="6"/>
  <c r="J153" i="6"/>
  <c r="M154" i="6"/>
  <c r="K156" i="6"/>
  <c r="N157" i="6"/>
  <c r="L159" i="6"/>
  <c r="J161" i="6"/>
  <c r="M162" i="6"/>
  <c r="K164" i="6"/>
  <c r="N165" i="6"/>
  <c r="L167" i="6"/>
  <c r="J169" i="6"/>
  <c r="J142" i="6"/>
  <c r="Y160" i="6" s="1"/>
  <c r="M143" i="6"/>
  <c r="K145" i="6"/>
  <c r="N146" i="6"/>
  <c r="L148" i="6"/>
  <c r="J150" i="6"/>
  <c r="M151" i="6"/>
  <c r="K153" i="6"/>
  <c r="N154" i="6"/>
  <c r="L156" i="6"/>
  <c r="J158" i="6"/>
  <c r="M159" i="6"/>
  <c r="K161" i="6"/>
  <c r="N162" i="6"/>
  <c r="L164" i="6"/>
  <c r="J166" i="6"/>
  <c r="M167" i="6"/>
  <c r="K169" i="6"/>
  <c r="K142" i="6"/>
  <c r="Y161" i="6" s="1"/>
  <c r="N143" i="6"/>
  <c r="L145" i="6"/>
  <c r="J147" i="6"/>
  <c r="M148" i="6"/>
  <c r="K150" i="6"/>
  <c r="N151" i="6"/>
  <c r="L153" i="6"/>
  <c r="J155" i="6"/>
  <c r="M156" i="6"/>
  <c r="K158" i="6"/>
  <c r="N159" i="6"/>
  <c r="L161" i="6"/>
  <c r="J163" i="6"/>
  <c r="M164" i="6"/>
  <c r="K166" i="6"/>
  <c r="N167" i="6"/>
  <c r="L169" i="6"/>
  <c r="L142" i="6"/>
  <c r="Y162" i="6" s="1"/>
  <c r="J144" i="6"/>
  <c r="M145" i="6"/>
  <c r="K147" i="6"/>
  <c r="N148" i="6"/>
  <c r="L150" i="6"/>
  <c r="J152" i="6"/>
  <c r="M153" i="6"/>
  <c r="K155" i="6"/>
  <c r="N156" i="6"/>
  <c r="L158" i="6"/>
  <c r="J160" i="6"/>
  <c r="M161" i="6"/>
  <c r="K163" i="6"/>
  <c r="N164" i="6"/>
  <c r="L166" i="6"/>
  <c r="J168" i="6"/>
  <c r="M169" i="6"/>
  <c r="M142" i="6"/>
  <c r="Y163" i="6" s="1"/>
  <c r="K144" i="6"/>
  <c r="N145" i="6"/>
  <c r="L147" i="6"/>
  <c r="J149" i="6"/>
  <c r="M150" i="6"/>
  <c r="K152" i="6"/>
  <c r="N153" i="6"/>
  <c r="L155" i="6"/>
  <c r="J157" i="6"/>
  <c r="M158" i="6"/>
  <c r="K160" i="6"/>
  <c r="N161" i="6"/>
  <c r="L163" i="6"/>
  <c r="J165" i="6"/>
  <c r="M166" i="6"/>
  <c r="K168" i="6"/>
  <c r="N169" i="6"/>
  <c r="N142" i="6"/>
  <c r="Y164" i="6" s="1"/>
  <c r="L144" i="6"/>
  <c r="J146" i="6"/>
  <c r="M147" i="6"/>
  <c r="K149" i="6"/>
  <c r="N150" i="6"/>
  <c r="L152" i="6"/>
  <c r="J154" i="6"/>
  <c r="M155" i="6"/>
  <c r="K157" i="6"/>
  <c r="N158" i="6"/>
  <c r="L160" i="6"/>
  <c r="J162" i="6"/>
  <c r="M163" i="6"/>
  <c r="K165" i="6"/>
  <c r="N166" i="6"/>
  <c r="L168" i="6"/>
  <c r="J143" i="6"/>
  <c r="M144" i="6"/>
  <c r="K146" i="6"/>
  <c r="N147" i="6"/>
  <c r="L149" i="6"/>
  <c r="J151" i="6"/>
  <c r="M152" i="6"/>
  <c r="K154" i="6"/>
  <c r="N155" i="6"/>
  <c r="L157" i="6"/>
  <c r="J159" i="6"/>
  <c r="M160" i="6"/>
  <c r="K162" i="6"/>
  <c r="N163" i="6"/>
  <c r="L165" i="6"/>
  <c r="J167" i="6"/>
  <c r="M168" i="6"/>
  <c r="K143" i="6"/>
  <c r="N144" i="6"/>
  <c r="L146" i="6"/>
  <c r="J148" i="6"/>
  <c r="M149" i="6"/>
  <c r="K151" i="6"/>
  <c r="N152" i="6"/>
  <c r="L154" i="6"/>
  <c r="J156" i="6"/>
  <c r="M157" i="6"/>
  <c r="K159" i="6"/>
  <c r="N160" i="6"/>
  <c r="L162" i="6"/>
  <c r="J164" i="6"/>
  <c r="M165" i="6"/>
  <c r="K167" i="6"/>
  <c r="N168" i="6"/>
  <c r="AS15" i="6"/>
  <c r="AK16" i="6"/>
  <c r="AL16" i="6"/>
  <c r="AK17" i="6"/>
  <c r="AL17" i="6"/>
  <c r="X35" i="6"/>
  <c r="X36" i="6"/>
  <c r="X37" i="6"/>
  <c r="X38" i="6"/>
  <c r="X39" i="6"/>
  <c r="X19" i="6"/>
  <c r="X20" i="6"/>
  <c r="X23" i="6"/>
  <c r="X21" i="6"/>
  <c r="X22" i="6"/>
  <c r="U40" i="6"/>
  <c r="V40" i="6"/>
  <c r="U41" i="6"/>
  <c r="V41" i="6"/>
  <c r="U36" i="6"/>
  <c r="U37" i="6"/>
  <c r="V37" i="6"/>
  <c r="V36" i="6"/>
  <c r="U32" i="6"/>
  <c r="V33" i="6"/>
  <c r="V32" i="6"/>
  <c r="U33" i="6"/>
  <c r="U28" i="6"/>
  <c r="V28" i="6"/>
  <c r="U29" i="6"/>
  <c r="V29" i="6"/>
  <c r="U24" i="6"/>
  <c r="V24" i="6"/>
  <c r="U25" i="6"/>
  <c r="V25" i="6"/>
  <c r="U20" i="6"/>
  <c r="V20" i="6"/>
  <c r="U21" i="6"/>
  <c r="V21" i="6"/>
  <c r="U16" i="6"/>
  <c r="U17" i="6"/>
  <c r="V17" i="6"/>
  <c r="V16" i="6"/>
  <c r="R24" i="6"/>
  <c r="S24" i="6"/>
  <c r="S25" i="6"/>
  <c r="R25" i="6"/>
  <c r="R16" i="6"/>
  <c r="S16" i="6"/>
  <c r="R17" i="6"/>
  <c r="S17" i="6"/>
  <c r="O17" i="6"/>
  <c r="AC145" i="6"/>
  <c r="AA291" i="7"/>
  <c r="Z145" i="6"/>
  <c r="AB153" i="6"/>
  <c r="X300" i="7"/>
  <c r="AA145" i="6"/>
  <c r="V162" i="6"/>
  <c r="Z146" i="6"/>
  <c r="AB145" i="6"/>
  <c r="Z153" i="6"/>
  <c r="AC152" i="6"/>
  <c r="AB146" i="6"/>
  <c r="T161" i="6"/>
  <c r="AC153" i="6"/>
  <c r="AE284" i="7"/>
  <c r="Q145" i="6"/>
  <c r="AA152" i="6"/>
  <c r="AA146" i="6"/>
  <c r="T162" i="6"/>
  <c r="AE291" i="7"/>
  <c r="AE290" i="7"/>
  <c r="V161" i="6"/>
  <c r="Z152" i="6"/>
  <c r="U161" i="6"/>
  <c r="AA283" i="7"/>
  <c r="U299" i="7"/>
  <c r="Q285" i="7"/>
  <c r="AE283" i="7"/>
  <c r="Q146" i="6"/>
  <c r="W162" i="6"/>
  <c r="AB290" i="7"/>
  <c r="W161" i="6"/>
  <c r="O16" i="6"/>
  <c r="AA284" i="7"/>
  <c r="AD283" i="7"/>
  <c r="U162" i="6"/>
  <c r="W299" i="7"/>
  <c r="AD284" i="7"/>
  <c r="AB152" i="6"/>
  <c r="U300" i="7"/>
  <c r="AC290" i="7"/>
  <c r="AB284" i="7"/>
  <c r="AD291" i="7"/>
  <c r="Q283" i="7"/>
  <c r="AC283" i="7"/>
  <c r="T299" i="7"/>
  <c r="AD290" i="7"/>
  <c r="AA153" i="6"/>
  <c r="W300" i="7"/>
  <c r="AA290" i="7"/>
  <c r="Q284" i="7"/>
  <c r="V300" i="7"/>
  <c r="T300" i="7"/>
  <c r="AC291" i="7"/>
  <c r="X299" i="7"/>
  <c r="AC284" i="7"/>
  <c r="Q147" i="6"/>
  <c r="V299" i="7"/>
  <c r="AB283" i="7"/>
  <c r="AB291" i="7"/>
  <c r="AC146" i="6"/>
  <c r="BB20" i="7" l="1"/>
  <c r="AV29" i="7" s="1"/>
  <c r="AV30" i="7" s="1"/>
  <c r="AX16" i="7" a="1"/>
  <c r="AX16" i="7" s="1"/>
  <c r="AC293" i="7"/>
  <c r="AE286" i="7"/>
  <c r="AB286" i="7"/>
  <c r="AA286" i="7"/>
  <c r="AB293" i="7"/>
  <c r="AD286" i="7"/>
  <c r="AE293" i="7"/>
  <c r="AA293" i="7"/>
  <c r="AC286" i="7"/>
  <c r="AD293" i="7"/>
  <c r="AA302" i="7"/>
  <c r="X284" i="7"/>
  <c r="X286" i="7"/>
  <c r="X283" i="7"/>
  <c r="X285" i="7"/>
  <c r="X287" i="7"/>
  <c r="X289" i="7"/>
  <c r="X292" i="7"/>
  <c r="X294" i="7"/>
  <c r="X296" i="7"/>
  <c r="X298" i="7"/>
  <c r="AB302" i="7"/>
  <c r="X293" i="7"/>
  <c r="X295" i="7"/>
  <c r="X288" i="7"/>
  <c r="X297" i="7"/>
  <c r="X290" i="7"/>
  <c r="AC302" i="7"/>
  <c r="Y21" i="7"/>
  <c r="Z21" i="7"/>
  <c r="AA21" i="7"/>
  <c r="AB21" i="7" a="1"/>
  <c r="AB21" i="7" s="1"/>
  <c r="AB38" i="7" a="1"/>
  <c r="AB38" i="7" s="1"/>
  <c r="Y38" i="7"/>
  <c r="AA38" i="7"/>
  <c r="Z38" i="7"/>
  <c r="U283" i="7"/>
  <c r="U285" i="7"/>
  <c r="U287" i="7"/>
  <c r="U289" i="7"/>
  <c r="U292" i="7"/>
  <c r="U294" i="7"/>
  <c r="U296" i="7"/>
  <c r="U298" i="7"/>
  <c r="AC299" i="7"/>
  <c r="AB299" i="7"/>
  <c r="AA299" i="7"/>
  <c r="U284" i="7"/>
  <c r="U286" i="7"/>
  <c r="U288" i="7"/>
  <c r="U290" i="7"/>
  <c r="U293" i="7"/>
  <c r="U295" i="7"/>
  <c r="U297" i="7"/>
  <c r="AB282" i="7"/>
  <c r="U282" i="7"/>
  <c r="Z299" i="7"/>
  <c r="R20" i="7" a="1"/>
  <c r="AX20" i="7" a="1"/>
  <c r="Z20" i="7"/>
  <c r="AA20" i="7"/>
  <c r="AB20" i="7" a="1"/>
  <c r="AB20" i="7" s="1"/>
  <c r="Y20" i="7"/>
  <c r="Y37" i="7"/>
  <c r="Z37" i="7"/>
  <c r="AA37" i="7"/>
  <c r="AB37" i="7" a="1"/>
  <c r="AB37" i="7" s="1"/>
  <c r="AA298" i="7"/>
  <c r="T294" i="7"/>
  <c r="T285" i="7"/>
  <c r="T293" i="7"/>
  <c r="T284" i="7"/>
  <c r="T292" i="7"/>
  <c r="T283" i="7"/>
  <c r="T290" i="7"/>
  <c r="T298" i="7"/>
  <c r="T289" i="7"/>
  <c r="AB298" i="7"/>
  <c r="T296" i="7"/>
  <c r="T287" i="7"/>
  <c r="T286" i="7"/>
  <c r="T288" i="7"/>
  <c r="AC298" i="7"/>
  <c r="T297" i="7"/>
  <c r="T295" i="7"/>
  <c r="AB19" i="7" a="1"/>
  <c r="AB19" i="7" s="1"/>
  <c r="AA19" i="7"/>
  <c r="Z19" i="7"/>
  <c r="Y19" i="7"/>
  <c r="AB36" i="7" a="1"/>
  <c r="AB36" i="7" s="1"/>
  <c r="Y36" i="7"/>
  <c r="AA36" i="7"/>
  <c r="Z36" i="7"/>
  <c r="Z302" i="7"/>
  <c r="AE282" i="7"/>
  <c r="X282" i="7"/>
  <c r="AA282" i="7"/>
  <c r="Z298" i="7"/>
  <c r="T282" i="7"/>
  <c r="Z35" i="7"/>
  <c r="Y35" i="7"/>
  <c r="AA35" i="7"/>
  <c r="AB35" i="7" a="1"/>
  <c r="AB35" i="7" s="1"/>
  <c r="AK20" i="7" a="1"/>
  <c r="AC301" i="7"/>
  <c r="AB301" i="7"/>
  <c r="W283" i="7"/>
  <c r="W285" i="7"/>
  <c r="W287" i="7"/>
  <c r="W289" i="7"/>
  <c r="W292" i="7"/>
  <c r="W294" i="7"/>
  <c r="W296" i="7"/>
  <c r="W298" i="7"/>
  <c r="AA301" i="7"/>
  <c r="AB315" i="7" s="1"/>
  <c r="W284" i="7"/>
  <c r="W286" i="7"/>
  <c r="W288" i="7"/>
  <c r="W290" i="7"/>
  <c r="W293" i="7"/>
  <c r="W295" i="7"/>
  <c r="W297" i="7"/>
  <c r="AA300" i="7"/>
  <c r="V283" i="7"/>
  <c r="V285" i="7"/>
  <c r="V287" i="7"/>
  <c r="V289" i="7"/>
  <c r="V292" i="7"/>
  <c r="V294" i="7"/>
  <c r="V296" i="7"/>
  <c r="V298" i="7"/>
  <c r="AB300" i="7"/>
  <c r="V284" i="7"/>
  <c r="V295" i="7"/>
  <c r="V286" i="7"/>
  <c r="V293" i="7"/>
  <c r="V288" i="7"/>
  <c r="V297" i="7"/>
  <c r="V290" i="7"/>
  <c r="AC300" i="7"/>
  <c r="Z301" i="7"/>
  <c r="AD282" i="7"/>
  <c r="W282" i="7"/>
  <c r="Y23" i="7"/>
  <c r="Z23" i="7"/>
  <c r="AA23" i="7"/>
  <c r="AB23" i="7" a="1"/>
  <c r="AB23" i="7" s="1"/>
  <c r="Z300" i="7"/>
  <c r="AC282" i="7"/>
  <c r="V282" i="7"/>
  <c r="Z22" i="7"/>
  <c r="AA22" i="7"/>
  <c r="AB22" i="7" a="1"/>
  <c r="AB22" i="7" s="1"/>
  <c r="Y22" i="7"/>
  <c r="Y39" i="7"/>
  <c r="Z39" i="7"/>
  <c r="AA39" i="7"/>
  <c r="AB39" i="7" a="1"/>
  <c r="AB39" i="7" s="1"/>
  <c r="AX17" i="7"/>
  <c r="Z164" i="6"/>
  <c r="AB164" i="6"/>
  <c r="AA164" i="6"/>
  <c r="Y174" i="6"/>
  <c r="Y172" i="6"/>
  <c r="Y173" i="6"/>
  <c r="Z168" i="6"/>
  <c r="Z160" i="6"/>
  <c r="AB160" i="6"/>
  <c r="AA160" i="6"/>
  <c r="AB163" i="6"/>
  <c r="AA163" i="6"/>
  <c r="Z163" i="6"/>
  <c r="R20" i="6" a="1"/>
  <c r="S20" i="6" s="1"/>
  <c r="AB161" i="6"/>
  <c r="AA161" i="6"/>
  <c r="Z161" i="6"/>
  <c r="Z177" i="6"/>
  <c r="Z171" i="6"/>
  <c r="Z176" i="6"/>
  <c r="Z174" i="6"/>
  <c r="Y170" i="6"/>
  <c r="Y168" i="6"/>
  <c r="Y171" i="6"/>
  <c r="Y169" i="6"/>
  <c r="AB162" i="6"/>
  <c r="Z162" i="6"/>
  <c r="AA162" i="6"/>
  <c r="AX20" i="6" a="1"/>
  <c r="AX21" i="6" s="1"/>
  <c r="Z175" i="6"/>
  <c r="Z173" i="6"/>
  <c r="Y177" i="6"/>
  <c r="Z170" i="6"/>
  <c r="Y176" i="6"/>
  <c r="Z169" i="6"/>
  <c r="Y175" i="6"/>
  <c r="Z172" i="6"/>
  <c r="AK20" i="6" a="1"/>
  <c r="AK20" i="6" s="1"/>
  <c r="AV34" i="6"/>
  <c r="AV35" i="6" s="1"/>
  <c r="S21" i="6"/>
  <c r="Z20" i="6"/>
  <c r="AA20" i="6"/>
  <c r="AB20" i="6" a="1"/>
  <c r="AB20" i="6" s="1"/>
  <c r="Y20" i="6"/>
  <c r="Y37" i="6"/>
  <c r="Z37" i="6"/>
  <c r="AA37" i="6"/>
  <c r="AB37" i="6" a="1"/>
  <c r="AB37" i="6" s="1"/>
  <c r="Y35" i="6"/>
  <c r="AA35" i="6"/>
  <c r="AB35" i="6" a="1"/>
  <c r="AB35" i="6" s="1"/>
  <c r="Z35" i="6"/>
  <c r="Z22" i="6"/>
  <c r="AA22" i="6"/>
  <c r="AB22" i="6" a="1"/>
  <c r="AB22" i="6" s="1"/>
  <c r="Y22" i="6"/>
  <c r="Y21" i="6"/>
  <c r="Z21" i="6"/>
  <c r="AA21" i="6"/>
  <c r="AB21" i="6" a="1"/>
  <c r="AB21" i="6" s="1"/>
  <c r="AB23" i="6" a="1"/>
  <c r="AB23" i="6" s="1"/>
  <c r="Y23" i="6"/>
  <c r="Z23" i="6"/>
  <c r="AA23" i="6"/>
  <c r="Y39" i="6"/>
  <c r="Z39" i="6"/>
  <c r="AA39" i="6"/>
  <c r="AB39" i="6" a="1"/>
  <c r="AB39" i="6" s="1"/>
  <c r="Y38" i="6"/>
  <c r="Z38" i="6"/>
  <c r="AA38" i="6"/>
  <c r="AB38" i="6" a="1"/>
  <c r="AB38" i="6" s="1"/>
  <c r="AB19" i="6" a="1"/>
  <c r="AB19" i="6" s="1"/>
  <c r="AA19" i="6"/>
  <c r="Z19" i="6"/>
  <c r="Y19" i="6"/>
  <c r="AA36" i="6"/>
  <c r="Y36" i="6"/>
  <c r="Z36" i="6"/>
  <c r="AB36" i="6" a="1"/>
  <c r="AB36" i="6" s="1"/>
  <c r="AV29" i="6"/>
  <c r="AV30" i="6" s="1"/>
  <c r="AC155" i="6"/>
  <c r="AB155" i="6"/>
  <c r="Z155" i="6"/>
  <c r="AB148" i="6"/>
  <c r="AA148" i="6"/>
  <c r="AA155" i="6"/>
  <c r="AC148" i="6"/>
  <c r="Z148" i="6"/>
  <c r="AB144" i="6"/>
  <c r="V144" i="6"/>
  <c r="AA144" i="6"/>
  <c r="U144" i="6"/>
  <c r="V148" i="6"/>
  <c r="V159" i="6"/>
  <c r="V151" i="6"/>
  <c r="V154" i="6"/>
  <c r="V157" i="6"/>
  <c r="V146" i="6"/>
  <c r="V149" i="6"/>
  <c r="V160" i="6"/>
  <c r="V152" i="6"/>
  <c r="V155" i="6"/>
  <c r="V147" i="6"/>
  <c r="V158" i="6"/>
  <c r="V150" i="6"/>
  <c r="V145" i="6"/>
  <c r="V156" i="6"/>
  <c r="U151" i="6"/>
  <c r="U154" i="6"/>
  <c r="U146" i="6"/>
  <c r="U157" i="6"/>
  <c r="U149" i="6"/>
  <c r="U152" i="6"/>
  <c r="U155" i="6"/>
  <c r="U147" i="6"/>
  <c r="U158" i="6"/>
  <c r="U150" i="6"/>
  <c r="U145" i="6"/>
  <c r="U156" i="6"/>
  <c r="U160" i="6"/>
  <c r="U148" i="6"/>
  <c r="U159" i="6"/>
  <c r="W145" i="6"/>
  <c r="W156" i="6"/>
  <c r="W154" i="6"/>
  <c r="W148" i="6"/>
  <c r="W159" i="6"/>
  <c r="W151" i="6"/>
  <c r="W146" i="6"/>
  <c r="W157" i="6"/>
  <c r="W149" i="6"/>
  <c r="W160" i="6"/>
  <c r="W152" i="6"/>
  <c r="W155" i="6"/>
  <c r="W147" i="6"/>
  <c r="W158" i="6"/>
  <c r="W150" i="6"/>
  <c r="T157" i="6"/>
  <c r="T148" i="6"/>
  <c r="T155" i="6"/>
  <c r="T146" i="6"/>
  <c r="T156" i="6"/>
  <c r="T147" i="6"/>
  <c r="T154" i="6"/>
  <c r="T145" i="6"/>
  <c r="T152" i="6"/>
  <c r="T160" i="6"/>
  <c r="T151" i="6"/>
  <c r="T159" i="6"/>
  <c r="T150" i="6"/>
  <c r="T158" i="6"/>
  <c r="T149" i="6"/>
  <c r="Z144" i="6"/>
  <c r="T144" i="6"/>
  <c r="AC144" i="6"/>
  <c r="W144" i="6"/>
  <c r="AY16" i="6"/>
  <c r="AY17" i="6"/>
  <c r="AX17" i="6"/>
  <c r="AK21" i="6" l="1"/>
  <c r="AL20" i="6"/>
  <c r="AH92" i="6" s="1" a="1"/>
  <c r="AH92" i="6" s="1"/>
  <c r="AI92" i="6" s="1"/>
  <c r="AJ92" i="6" s="1"/>
  <c r="AL21" i="6"/>
  <c r="AH145" i="6" s="1" a="1"/>
  <c r="AH145" i="6" s="1"/>
  <c r="AI145" i="6" s="1"/>
  <c r="AJ145" i="6" s="1"/>
  <c r="AA177" i="6"/>
  <c r="U291" i="7"/>
  <c r="AC35" i="7"/>
  <c r="T291" i="7"/>
  <c r="AY16" i="7"/>
  <c r="AY17" i="7"/>
  <c r="AC20" i="7"/>
  <c r="AC21" i="7"/>
  <c r="AC39" i="7"/>
  <c r="AB303" i="7"/>
  <c r="AD303" i="7" s="1"/>
  <c r="AA308" i="7"/>
  <c r="AA313" i="7"/>
  <c r="AA311" i="7"/>
  <c r="Z315" i="7"/>
  <c r="AA314" i="7"/>
  <c r="AA312" i="7"/>
  <c r="AA315" i="7"/>
  <c r="AA309" i="7"/>
  <c r="AC37" i="7"/>
  <c r="AB314" i="7"/>
  <c r="AB313" i="7"/>
  <c r="AC22" i="7"/>
  <c r="AB308" i="7"/>
  <c r="AB306" i="7"/>
  <c r="AB309" i="7"/>
  <c r="AB307" i="7"/>
  <c r="AA310" i="7"/>
  <c r="Z314" i="7"/>
  <c r="AA307" i="7"/>
  <c r="Z313" i="7"/>
  <c r="Z308" i="7"/>
  <c r="Z306" i="7"/>
  <c r="Z309" i="7"/>
  <c r="Z307" i="7"/>
  <c r="AC36" i="7"/>
  <c r="AC303" i="7"/>
  <c r="AB312" i="7"/>
  <c r="AB310" i="7"/>
  <c r="AB311" i="7"/>
  <c r="AC23" i="7"/>
  <c r="V291" i="7"/>
  <c r="AX20" i="7"/>
  <c r="AY21" i="7"/>
  <c r="AX21" i="7"/>
  <c r="AY20" i="7"/>
  <c r="W291" i="7"/>
  <c r="AK20" i="7"/>
  <c r="AL21" i="7"/>
  <c r="AK21" i="7"/>
  <c r="AL20" i="7"/>
  <c r="AC19" i="7"/>
  <c r="R20" i="7"/>
  <c r="S21" i="7"/>
  <c r="R21" i="7"/>
  <c r="S20" i="7"/>
  <c r="AC38" i="7"/>
  <c r="X291" i="7"/>
  <c r="AA306" i="7"/>
  <c r="Z312" i="7"/>
  <c r="Z310" i="7"/>
  <c r="Z311" i="7"/>
  <c r="U153" i="6"/>
  <c r="AA176" i="6"/>
  <c r="AA175" i="6"/>
  <c r="R20" i="6"/>
  <c r="AY20" i="6"/>
  <c r="R21" i="6"/>
  <c r="AY21" i="6"/>
  <c r="AA172" i="6"/>
  <c r="AA173" i="6"/>
  <c r="AA174" i="6"/>
  <c r="AA165" i="6"/>
  <c r="AC165" i="6" s="1"/>
  <c r="AB165" i="6"/>
  <c r="AX20" i="6"/>
  <c r="AA170" i="6"/>
  <c r="AA171" i="6"/>
  <c r="AA169" i="6"/>
  <c r="AA168" i="6"/>
  <c r="AC35" i="6"/>
  <c r="AC38" i="6"/>
  <c r="AH104" i="6" a="1"/>
  <c r="AH104" i="6" s="1"/>
  <c r="AI104" i="6" s="1"/>
  <c r="AJ104" i="6" s="1"/>
  <c r="AH44" i="6" a="1"/>
  <c r="AH44" i="6" s="1"/>
  <c r="AI44" i="6" s="1"/>
  <c r="AJ44" i="6" s="1"/>
  <c r="AH79" i="6" a="1"/>
  <c r="AH79" i="6" s="1"/>
  <c r="AI79" i="6" s="1"/>
  <c r="AJ79" i="6" s="1"/>
  <c r="AC20" i="6"/>
  <c r="AH101" i="6" a="1"/>
  <c r="AH101" i="6" s="1"/>
  <c r="AI101" i="6" s="1"/>
  <c r="AJ101" i="6" s="1"/>
  <c r="AH29" i="6" a="1"/>
  <c r="AH29" i="6" s="1"/>
  <c r="AI29" i="6" s="1"/>
  <c r="AJ29" i="6" s="1"/>
  <c r="AH56" i="6" a="1"/>
  <c r="AH56" i="6" s="1"/>
  <c r="AI56" i="6" s="1"/>
  <c r="AJ56" i="6" s="1"/>
  <c r="AC19" i="6"/>
  <c r="AH42" i="6" a="1"/>
  <c r="AH42" i="6" s="1"/>
  <c r="AI42" i="6" s="1"/>
  <c r="AJ42" i="6" s="1"/>
  <c r="AH66" i="6" a="1"/>
  <c r="AH66" i="6" s="1"/>
  <c r="AI66" i="6" s="1"/>
  <c r="AJ66" i="6" s="1"/>
  <c r="AH129" i="6" a="1"/>
  <c r="AH129" i="6" s="1"/>
  <c r="AI129" i="6" s="1"/>
  <c r="AJ129" i="6" s="1"/>
  <c r="AH113" i="6" a="1"/>
  <c r="AH113" i="6" s="1"/>
  <c r="AI113" i="6" s="1"/>
  <c r="AJ113" i="6" s="1"/>
  <c r="AC39" i="6"/>
  <c r="AH82" i="6" a="1"/>
  <c r="AH82" i="6" s="1"/>
  <c r="AI82" i="6" s="1"/>
  <c r="AJ82" i="6" s="1"/>
  <c r="AH68" i="6" a="1"/>
  <c r="AH68" i="6" s="1"/>
  <c r="AI68" i="6" s="1"/>
  <c r="AJ68" i="6" s="1"/>
  <c r="AH85" i="6" a="1"/>
  <c r="AH85" i="6" s="1"/>
  <c r="AI85" i="6" s="1"/>
  <c r="AJ85" i="6" s="1"/>
  <c r="AH136" i="6" a="1"/>
  <c r="AH136" i="6" s="1"/>
  <c r="AI136" i="6" s="1"/>
  <c r="AJ136" i="6" s="1"/>
  <c r="AH61" i="6" a="1"/>
  <c r="AH61" i="6" s="1"/>
  <c r="AI61" i="6" s="1"/>
  <c r="AJ61" i="6" s="1"/>
  <c r="AH55" i="6" a="1"/>
  <c r="AH55" i="6" s="1"/>
  <c r="AI55" i="6" s="1"/>
  <c r="AJ55" i="6" s="1"/>
  <c r="AH26" i="6" a="1"/>
  <c r="AH26" i="6" s="1"/>
  <c r="AI26" i="6" s="1"/>
  <c r="AJ26" i="6" s="1"/>
  <c r="AC37" i="6"/>
  <c r="AC21" i="6"/>
  <c r="AH126" i="6" a="1"/>
  <c r="AH126" i="6" s="1"/>
  <c r="AI126" i="6" s="1"/>
  <c r="AJ126" i="6" s="1"/>
  <c r="AH63" i="6" a="1"/>
  <c r="AH63" i="6" s="1"/>
  <c r="AI63" i="6" s="1"/>
  <c r="AJ63" i="6" s="1"/>
  <c r="AH58" i="6" a="1"/>
  <c r="AH58" i="6" s="1"/>
  <c r="AI58" i="6" s="1"/>
  <c r="AJ58" i="6" s="1"/>
  <c r="AH116" i="6" a="1"/>
  <c r="AH116" i="6" s="1"/>
  <c r="AI116" i="6" s="1"/>
  <c r="AJ116" i="6" s="1"/>
  <c r="AH115" i="6" a="1"/>
  <c r="AH115" i="6" s="1"/>
  <c r="AI115" i="6" s="1"/>
  <c r="AJ115" i="6" s="1"/>
  <c r="AH51" i="6" a="1"/>
  <c r="AH51" i="6" s="1"/>
  <c r="AI51" i="6" s="1"/>
  <c r="AJ51" i="6" s="1"/>
  <c r="AH109" i="6" a="1"/>
  <c r="AH109" i="6" s="1"/>
  <c r="AI109" i="6" s="1"/>
  <c r="AJ109" i="6" s="1"/>
  <c r="AH48" i="6" a="1"/>
  <c r="AH48" i="6" s="1"/>
  <c r="AI48" i="6" s="1"/>
  <c r="AJ48" i="6" s="1"/>
  <c r="AC36" i="6"/>
  <c r="AH149" i="6" a="1"/>
  <c r="AH149" i="6" s="1"/>
  <c r="AI149" i="6" s="1"/>
  <c r="AJ149" i="6" s="1"/>
  <c r="AH118" i="6" a="1"/>
  <c r="AH118" i="6" s="1"/>
  <c r="AI118" i="6" s="1"/>
  <c r="AJ118" i="6" s="1"/>
  <c r="AH95" i="6" a="1"/>
  <c r="AH95" i="6" s="1"/>
  <c r="AI95" i="6" s="1"/>
  <c r="AJ95" i="6" s="1"/>
  <c r="AH122" i="6" a="1"/>
  <c r="AH122" i="6" s="1"/>
  <c r="AI122" i="6" s="1"/>
  <c r="AJ122" i="6" s="1"/>
  <c r="AH127" i="6" a="1"/>
  <c r="AH127" i="6" s="1"/>
  <c r="AI127" i="6" s="1"/>
  <c r="AJ127" i="6" s="1"/>
  <c r="AH71" i="6" a="1"/>
  <c r="AH71" i="6" s="1"/>
  <c r="AI71" i="6" s="1"/>
  <c r="AJ71" i="6" s="1"/>
  <c r="AH111" i="6" a="1"/>
  <c r="AH111" i="6" s="1"/>
  <c r="AI111" i="6" s="1"/>
  <c r="AJ111" i="6" s="1"/>
  <c r="AH106" i="6" a="1"/>
  <c r="AH106" i="6" s="1"/>
  <c r="AI106" i="6" s="1"/>
  <c r="AJ106" i="6" s="1"/>
  <c r="AC23" i="6"/>
  <c r="AH34" i="6" a="1"/>
  <c r="AH34" i="6" s="1"/>
  <c r="AI34" i="6" s="1"/>
  <c r="AJ34" i="6" s="1"/>
  <c r="AH84" i="6" a="1"/>
  <c r="AH84" i="6" s="1"/>
  <c r="AI84" i="6" s="1"/>
  <c r="AJ84" i="6" s="1"/>
  <c r="AC22" i="6"/>
  <c r="AH50" i="6" a="1"/>
  <c r="AH50" i="6" s="1"/>
  <c r="AI50" i="6" s="1"/>
  <c r="AJ50" i="6" s="1"/>
  <c r="AH35" i="6" a="1"/>
  <c r="AH35" i="6" s="1"/>
  <c r="AI35" i="6" s="1"/>
  <c r="AJ35" i="6" s="1"/>
  <c r="AH107" i="6" a="1"/>
  <c r="AH107" i="6" s="1"/>
  <c r="AI107" i="6" s="1"/>
  <c r="AJ107" i="6" s="1"/>
  <c r="AH38" i="6" a="1"/>
  <c r="AH38" i="6" s="1"/>
  <c r="AI38" i="6" s="1"/>
  <c r="AJ38" i="6" s="1"/>
  <c r="AH121" i="6" a="1"/>
  <c r="AH121" i="6" s="1"/>
  <c r="AI121" i="6" s="1"/>
  <c r="AJ121" i="6" s="1"/>
  <c r="AH70" i="6" a="1"/>
  <c r="AH70" i="6" s="1"/>
  <c r="AI70" i="6" s="1"/>
  <c r="AJ70" i="6" s="1"/>
  <c r="AH102" i="6" a="1"/>
  <c r="AH102" i="6" s="1"/>
  <c r="AI102" i="6" s="1"/>
  <c r="AJ102" i="6" s="1"/>
  <c r="AH36" i="6" a="1"/>
  <c r="AH36" i="6" s="1"/>
  <c r="AI36" i="6" s="1"/>
  <c r="AJ36" i="6" s="1"/>
  <c r="AH147" i="6" a="1"/>
  <c r="AH147" i="6" s="1"/>
  <c r="AI147" i="6" s="1"/>
  <c r="AJ147" i="6" s="1"/>
  <c r="AH146" i="6" a="1"/>
  <c r="AH146" i="6" s="1"/>
  <c r="AI146" i="6" s="1"/>
  <c r="AJ146" i="6" s="1"/>
  <c r="AH89" i="6" a="1"/>
  <c r="AH89" i="6" s="1"/>
  <c r="AI89" i="6" s="1"/>
  <c r="AJ89" i="6" s="1"/>
  <c r="AH57" i="6" a="1"/>
  <c r="AH57" i="6" s="1"/>
  <c r="AI57" i="6" s="1"/>
  <c r="AJ57" i="6" s="1"/>
  <c r="AH73" i="6" a="1"/>
  <c r="AH73" i="6" s="1"/>
  <c r="AI73" i="6" s="1"/>
  <c r="AJ73" i="6" s="1"/>
  <c r="AH46" i="6" a="1"/>
  <c r="AH46" i="6" s="1"/>
  <c r="AI46" i="6" s="1"/>
  <c r="AJ46" i="6" s="1"/>
  <c r="AH108" i="6" a="1"/>
  <c r="AH108" i="6" s="1"/>
  <c r="AI108" i="6" s="1"/>
  <c r="AJ108" i="6" s="1"/>
  <c r="AH140" i="6" a="1"/>
  <c r="AH140" i="6" s="1"/>
  <c r="AI140" i="6" s="1"/>
  <c r="AJ140" i="6" s="1"/>
  <c r="AH139" i="6" a="1"/>
  <c r="AH139" i="6" s="1"/>
  <c r="AI139" i="6" s="1"/>
  <c r="AJ139" i="6" s="1"/>
  <c r="AH75" i="6" a="1"/>
  <c r="AH75" i="6" s="1"/>
  <c r="AI75" i="6" s="1"/>
  <c r="AJ75" i="6" s="1"/>
  <c r="AH91" i="6" a="1"/>
  <c r="AH91" i="6" s="1"/>
  <c r="AI91" i="6" s="1"/>
  <c r="AJ91" i="6" s="1"/>
  <c r="AH74" i="6" a="1"/>
  <c r="AH74" i="6" s="1"/>
  <c r="AI74" i="6" s="1"/>
  <c r="AJ74" i="6" s="1"/>
  <c r="AH25" i="6" a="1"/>
  <c r="AH25" i="6" s="1"/>
  <c r="AI25" i="6" s="1"/>
  <c r="AJ25" i="6" s="1"/>
  <c r="AH135" i="6" a="1"/>
  <c r="AH135" i="6" s="1"/>
  <c r="AI135" i="6" s="1"/>
  <c r="AJ135" i="6" s="1"/>
  <c r="AH81" i="6" a="1"/>
  <c r="AH81" i="6" s="1"/>
  <c r="AI81" i="6" s="1"/>
  <c r="AJ81" i="6" s="1"/>
  <c r="AH22" i="6" a="1"/>
  <c r="AH22" i="6" s="1"/>
  <c r="AI22" i="6" s="1"/>
  <c r="AJ22" i="6" s="1"/>
  <c r="AH65" i="6" a="1"/>
  <c r="AH65" i="6" s="1"/>
  <c r="AI65" i="6" s="1"/>
  <c r="AJ65" i="6" s="1"/>
  <c r="AH45" i="6" a="1"/>
  <c r="AH45" i="6" s="1"/>
  <c r="AI45" i="6" s="1"/>
  <c r="AJ45" i="6" s="1"/>
  <c r="AH23" i="6" a="1"/>
  <c r="AH23" i="6" s="1"/>
  <c r="AI23" i="6" s="1"/>
  <c r="AJ23" i="6" s="1"/>
  <c r="AH144" i="6" a="1"/>
  <c r="AH144" i="6" s="1"/>
  <c r="AI144" i="6" s="1"/>
  <c r="AJ144" i="6" s="1"/>
  <c r="AH20" i="6" a="1"/>
  <c r="AH20" i="6" s="1"/>
  <c r="AI20" i="6" s="1"/>
  <c r="AJ20" i="6" s="1"/>
  <c r="AH131" i="6" a="1"/>
  <c r="AH131" i="6" s="1"/>
  <c r="AI131" i="6" s="1"/>
  <c r="AJ131" i="6" s="1"/>
  <c r="AH64" i="6" a="1"/>
  <c r="AH64" i="6" s="1"/>
  <c r="AI64" i="6" s="1"/>
  <c r="AJ64" i="6" s="1"/>
  <c r="AH134" i="6" a="1"/>
  <c r="AH134" i="6" s="1"/>
  <c r="AI134" i="6" s="1"/>
  <c r="AJ134" i="6" s="1"/>
  <c r="T153" i="6"/>
  <c r="V153" i="6"/>
  <c r="W153" i="6"/>
  <c r="AD165" i="6"/>
  <c r="AE303" i="7"/>
  <c r="AR25" i="7" a="1"/>
  <c r="AR25" i="6" a="1"/>
  <c r="BB15" i="6" l="1"/>
  <c r="AH99" i="6" a="1"/>
  <c r="AH99" i="6" s="1"/>
  <c r="AI99" i="6" s="1"/>
  <c r="AJ99" i="6" s="1"/>
  <c r="AH33" i="6" a="1"/>
  <c r="AH33" i="6" s="1"/>
  <c r="AI33" i="6" s="1"/>
  <c r="AJ33" i="6" s="1"/>
  <c r="AH103" i="6" a="1"/>
  <c r="AH103" i="6" s="1"/>
  <c r="AI103" i="6" s="1"/>
  <c r="AJ103" i="6" s="1"/>
  <c r="AH128" i="6" a="1"/>
  <c r="AH128" i="6" s="1"/>
  <c r="AI128" i="6" s="1"/>
  <c r="AJ128" i="6" s="1"/>
  <c r="AH31" i="6" a="1"/>
  <c r="AH31" i="6" s="1"/>
  <c r="AI31" i="6" s="1"/>
  <c r="AJ31" i="6" s="1"/>
  <c r="AH32" i="6" a="1"/>
  <c r="AH32" i="6" s="1"/>
  <c r="AI32" i="6" s="1"/>
  <c r="AJ32" i="6" s="1"/>
  <c r="AH24" i="6" a="1"/>
  <c r="AH24" i="6" s="1"/>
  <c r="AI24" i="6" s="1"/>
  <c r="AJ24" i="6" s="1"/>
  <c r="AH120" i="6" a="1"/>
  <c r="AH120" i="6" s="1"/>
  <c r="AI120" i="6" s="1"/>
  <c r="AJ120" i="6" s="1"/>
  <c r="AH19" i="6" a="1"/>
  <c r="AH19" i="6" s="1"/>
  <c r="AI19" i="6" s="1"/>
  <c r="AJ19" i="6" s="1"/>
  <c r="Y44" i="6"/>
  <c r="AH67" i="6" a="1"/>
  <c r="AH67" i="6" s="1"/>
  <c r="AI67" i="6" s="1"/>
  <c r="AJ67" i="6" s="1"/>
  <c r="AH125" i="6" a="1"/>
  <c r="AH125" i="6" s="1"/>
  <c r="AI125" i="6" s="1"/>
  <c r="AJ125" i="6" s="1"/>
  <c r="AH119" i="6" a="1"/>
  <c r="AH119" i="6" s="1"/>
  <c r="AI119" i="6" s="1"/>
  <c r="AJ119" i="6" s="1"/>
  <c r="AH138" i="6" a="1"/>
  <c r="AH138" i="6" s="1"/>
  <c r="AI138" i="6" s="1"/>
  <c r="AJ138" i="6" s="1"/>
  <c r="AH16" i="6" a="1"/>
  <c r="AH16" i="6" s="1"/>
  <c r="AI16" i="6" s="1"/>
  <c r="AJ16" i="6" s="1"/>
  <c r="AH39" i="6" a="1"/>
  <c r="AH39" i="6" s="1"/>
  <c r="AI39" i="6" s="1"/>
  <c r="AJ39" i="6" s="1"/>
  <c r="AH30" i="6" a="1"/>
  <c r="AH30" i="6" s="1"/>
  <c r="AI30" i="6" s="1"/>
  <c r="AJ30" i="6" s="1"/>
  <c r="AH143" i="6" a="1"/>
  <c r="AH143" i="6" s="1"/>
  <c r="AI143" i="6" s="1"/>
  <c r="AJ143" i="6" s="1"/>
  <c r="AH43" i="6" a="1"/>
  <c r="AH43" i="6" s="1"/>
  <c r="AI43" i="6" s="1"/>
  <c r="AJ43" i="6" s="1"/>
  <c r="AH148" i="6" a="1"/>
  <c r="AH148" i="6" s="1"/>
  <c r="AI148" i="6" s="1"/>
  <c r="AJ148" i="6" s="1"/>
  <c r="AH72" i="6" a="1"/>
  <c r="AH72" i="6" s="1"/>
  <c r="AI72" i="6" s="1"/>
  <c r="AJ72" i="6" s="1"/>
  <c r="AH97" i="6" a="1"/>
  <c r="AH97" i="6" s="1"/>
  <c r="AI97" i="6" s="1"/>
  <c r="AJ97" i="6" s="1"/>
  <c r="AH98" i="6" a="1"/>
  <c r="AH98" i="6" s="1"/>
  <c r="AI98" i="6" s="1"/>
  <c r="AJ98" i="6" s="1"/>
  <c r="AH141" i="6" a="1"/>
  <c r="AH141" i="6" s="1"/>
  <c r="AI141" i="6" s="1"/>
  <c r="AJ141" i="6" s="1"/>
  <c r="AH105" i="6" a="1"/>
  <c r="AH105" i="6" s="1"/>
  <c r="AI105" i="6" s="1"/>
  <c r="AJ105" i="6" s="1"/>
  <c r="AH41" i="6" a="1"/>
  <c r="AH41" i="6" s="1"/>
  <c r="AI41" i="6" s="1"/>
  <c r="AJ41" i="6" s="1"/>
  <c r="AH59" i="6" a="1"/>
  <c r="AH59" i="6" s="1"/>
  <c r="AI59" i="6" s="1"/>
  <c r="AJ59" i="6" s="1"/>
  <c r="AH17" i="6" a="1"/>
  <c r="AH17" i="6" s="1"/>
  <c r="AI17" i="6" s="1"/>
  <c r="AJ17" i="6" s="1"/>
  <c r="AH52" i="6" a="1"/>
  <c r="AH52" i="6" s="1"/>
  <c r="AI52" i="6" s="1"/>
  <c r="AJ52" i="6" s="1"/>
  <c r="AH78" i="6" a="1"/>
  <c r="AH78" i="6" s="1"/>
  <c r="AI78" i="6" s="1"/>
  <c r="AJ78" i="6" s="1"/>
  <c r="AH110" i="6" a="1"/>
  <c r="AH110" i="6" s="1"/>
  <c r="AI110" i="6" s="1"/>
  <c r="AJ110" i="6" s="1"/>
  <c r="AH18" i="6" a="1"/>
  <c r="AH18" i="6" s="1"/>
  <c r="AI18" i="6" s="1"/>
  <c r="AJ18" i="6" s="1"/>
  <c r="AH28" i="6" a="1"/>
  <c r="AH28" i="6" s="1"/>
  <c r="AI28" i="6" s="1"/>
  <c r="AJ28" i="6" s="1"/>
  <c r="AH21" i="6" a="1"/>
  <c r="AH21" i="6" s="1"/>
  <c r="AI21" i="6" s="1"/>
  <c r="AJ21" i="6" s="1"/>
  <c r="AH53" i="6" a="1"/>
  <c r="AH53" i="6" s="1"/>
  <c r="AI53" i="6" s="1"/>
  <c r="AJ53" i="6" s="1"/>
  <c r="AH60" i="6" a="1"/>
  <c r="AH60" i="6" s="1"/>
  <c r="AI60" i="6" s="1"/>
  <c r="AJ60" i="6" s="1"/>
  <c r="AH77" i="6" a="1"/>
  <c r="AH77" i="6" s="1"/>
  <c r="AI77" i="6" s="1"/>
  <c r="AJ77" i="6" s="1"/>
  <c r="AH69" i="6" a="1"/>
  <c r="AH69" i="6" s="1"/>
  <c r="AI69" i="6" s="1"/>
  <c r="AJ69" i="6" s="1"/>
  <c r="AH80" i="6" a="1"/>
  <c r="AH80" i="6" s="1"/>
  <c r="AI80" i="6" s="1"/>
  <c r="AJ80" i="6" s="1"/>
  <c r="AH27" i="6" a="1"/>
  <c r="AH27" i="6" s="1"/>
  <c r="AI27" i="6" s="1"/>
  <c r="AJ27" i="6" s="1"/>
  <c r="AH137" i="6" a="1"/>
  <c r="AH137" i="6" s="1"/>
  <c r="AI137" i="6" s="1"/>
  <c r="AJ137" i="6" s="1"/>
  <c r="AH117" i="6" a="1"/>
  <c r="AH117" i="6" s="1"/>
  <c r="AI117" i="6" s="1"/>
  <c r="AJ117" i="6" s="1"/>
  <c r="AH94" i="6" a="1"/>
  <c r="AH94" i="6" s="1"/>
  <c r="AI94" i="6" s="1"/>
  <c r="AJ94" i="6" s="1"/>
  <c r="AH114" i="6" a="1"/>
  <c r="AH114" i="6" s="1"/>
  <c r="AI114" i="6" s="1"/>
  <c r="AJ114" i="6" s="1"/>
  <c r="AH40" i="6" a="1"/>
  <c r="AH40" i="6" s="1"/>
  <c r="AI40" i="6" s="1"/>
  <c r="AJ40" i="6" s="1"/>
  <c r="AH62" i="6" a="1"/>
  <c r="AH62" i="6" s="1"/>
  <c r="AI62" i="6" s="1"/>
  <c r="AJ62" i="6" s="1"/>
  <c r="AH96" i="6" a="1"/>
  <c r="AH96" i="6" s="1"/>
  <c r="AI96" i="6" s="1"/>
  <c r="AJ96" i="6" s="1"/>
  <c r="AH88" i="6" a="1"/>
  <c r="AH88" i="6" s="1"/>
  <c r="AI88" i="6" s="1"/>
  <c r="AJ88" i="6" s="1"/>
  <c r="AH49" i="6" a="1"/>
  <c r="AH49" i="6" s="1"/>
  <c r="AI49" i="6" s="1"/>
  <c r="AJ49" i="6" s="1"/>
  <c r="AH124" i="6" a="1"/>
  <c r="AH124" i="6" s="1"/>
  <c r="AI124" i="6" s="1"/>
  <c r="AJ124" i="6" s="1"/>
  <c r="AH123" i="6" a="1"/>
  <c r="AH123" i="6" s="1"/>
  <c r="AI123" i="6" s="1"/>
  <c r="AJ123" i="6" s="1"/>
  <c r="AH142" i="6" a="1"/>
  <c r="AH142" i="6" s="1"/>
  <c r="AI142" i="6" s="1"/>
  <c r="AJ142" i="6" s="1"/>
  <c r="AH130" i="6" a="1"/>
  <c r="AH130" i="6" s="1"/>
  <c r="AI130" i="6" s="1"/>
  <c r="AJ130" i="6" s="1"/>
  <c r="AH37" i="6" a="1"/>
  <c r="AH37" i="6" s="1"/>
  <c r="AI37" i="6" s="1"/>
  <c r="AJ37" i="6" s="1"/>
  <c r="AH86" i="6" a="1"/>
  <c r="AH86" i="6" s="1"/>
  <c r="AI86" i="6" s="1"/>
  <c r="AJ86" i="6" s="1"/>
  <c r="AH83" i="6" a="1"/>
  <c r="AH83" i="6" s="1"/>
  <c r="AI83" i="6" s="1"/>
  <c r="AJ83" i="6" s="1"/>
  <c r="AH76" i="6" a="1"/>
  <c r="AH76" i="6" s="1"/>
  <c r="AI76" i="6" s="1"/>
  <c r="AJ76" i="6" s="1"/>
  <c r="AH150" i="6" a="1"/>
  <c r="AH150" i="6" s="1"/>
  <c r="AI150" i="6" s="1"/>
  <c r="AJ150" i="6" s="1"/>
  <c r="AH133" i="6" a="1"/>
  <c r="AH133" i="6" s="1"/>
  <c r="AI133" i="6" s="1"/>
  <c r="AJ133" i="6" s="1"/>
  <c r="AH47" i="6" a="1"/>
  <c r="AH47" i="6" s="1"/>
  <c r="AI47" i="6" s="1"/>
  <c r="AJ47" i="6" s="1"/>
  <c r="AH93" i="6" a="1"/>
  <c r="AH93" i="6" s="1"/>
  <c r="AI93" i="6" s="1"/>
  <c r="AJ93" i="6" s="1"/>
  <c r="AH100" i="6" a="1"/>
  <c r="AH100" i="6" s="1"/>
  <c r="AI100" i="6" s="1"/>
  <c r="AJ100" i="6" s="1"/>
  <c r="AH132" i="6" a="1"/>
  <c r="AH132" i="6" s="1"/>
  <c r="AI132" i="6" s="1"/>
  <c r="AJ132" i="6" s="1"/>
  <c r="AH54" i="6" a="1"/>
  <c r="AH54" i="6" s="1"/>
  <c r="AI54" i="6" s="1"/>
  <c r="AJ54" i="6" s="1"/>
  <c r="AH90" i="6" a="1"/>
  <c r="AH90" i="6" s="1"/>
  <c r="AI90" i="6" s="1"/>
  <c r="AJ90" i="6" s="1"/>
  <c r="AH87" i="6" a="1"/>
  <c r="AH87" i="6" s="1"/>
  <c r="AI87" i="6" s="1"/>
  <c r="AJ87" i="6" s="1"/>
  <c r="AH112" i="6" a="1"/>
  <c r="AH112" i="6" s="1"/>
  <c r="AI112" i="6" s="1"/>
  <c r="AJ112" i="6" s="1"/>
  <c r="AI315" i="7"/>
  <c r="BB15" i="7"/>
  <c r="BB23" i="7" s="1"/>
  <c r="Y44" i="7"/>
  <c r="Y43" i="7" s="1"/>
  <c r="AR25" i="7"/>
  <c r="AS25" i="7"/>
  <c r="AI307" i="7"/>
  <c r="AH46" i="7" a="1"/>
  <c r="AH46" i="7" s="1"/>
  <c r="AI46" i="7" s="1"/>
  <c r="AJ46" i="7" s="1"/>
  <c r="AH149" i="7" a="1"/>
  <c r="AH149" i="7" s="1"/>
  <c r="AI149" i="7" s="1"/>
  <c r="AJ149" i="7" s="1"/>
  <c r="AH85" i="7" a="1"/>
  <c r="AH85" i="7" s="1"/>
  <c r="AI85" i="7" s="1"/>
  <c r="AJ85" i="7" s="1"/>
  <c r="AH88" i="7" a="1"/>
  <c r="AH88" i="7" s="1"/>
  <c r="AI88" i="7" s="1"/>
  <c r="AJ88" i="7" s="1"/>
  <c r="AH122" i="7" a="1"/>
  <c r="AH122" i="7" s="1"/>
  <c r="AI122" i="7" s="1"/>
  <c r="AJ122" i="7" s="1"/>
  <c r="AH58" i="7" a="1"/>
  <c r="AH58" i="7" s="1"/>
  <c r="AI58" i="7" s="1"/>
  <c r="AJ58" i="7" s="1"/>
  <c r="AH26" i="7" a="1"/>
  <c r="AH26" i="7" s="1"/>
  <c r="AI26" i="7" s="1"/>
  <c r="AJ26" i="7" s="1"/>
  <c r="AH131" i="7" a="1"/>
  <c r="AH131" i="7" s="1"/>
  <c r="AI131" i="7" s="1"/>
  <c r="AJ131" i="7" s="1"/>
  <c r="AH67" i="7" a="1"/>
  <c r="AH67" i="7" s="1"/>
  <c r="AI67" i="7" s="1"/>
  <c r="AJ67" i="7" s="1"/>
  <c r="AH135" i="7" a="1"/>
  <c r="AH135" i="7" s="1"/>
  <c r="AI135" i="7" s="1"/>
  <c r="AJ135" i="7" s="1"/>
  <c r="AH37" i="7" a="1"/>
  <c r="AH37" i="7" s="1"/>
  <c r="AI37" i="7" s="1"/>
  <c r="AJ37" i="7" s="1"/>
  <c r="AH71" i="7" a="1"/>
  <c r="AH71" i="7" s="1"/>
  <c r="AI71" i="7" s="1"/>
  <c r="AJ71" i="7" s="1"/>
  <c r="AH105" i="7" a="1"/>
  <c r="AH105" i="7" s="1"/>
  <c r="AI105" i="7" s="1"/>
  <c r="AJ105" i="7" s="1"/>
  <c r="AH140" i="7" a="1"/>
  <c r="AH140" i="7" s="1"/>
  <c r="AI140" i="7" s="1"/>
  <c r="AJ140" i="7" s="1"/>
  <c r="AH41" i="7" a="1"/>
  <c r="AH41" i="7" s="1"/>
  <c r="AI41" i="7" s="1"/>
  <c r="AJ41" i="7" s="1"/>
  <c r="AH76" i="7" a="1"/>
  <c r="AH76" i="7" s="1"/>
  <c r="AI76" i="7" s="1"/>
  <c r="AJ76" i="7" s="1"/>
  <c r="AH110" i="7" a="1"/>
  <c r="AH110" i="7" s="1"/>
  <c r="AI110" i="7" s="1"/>
  <c r="AJ110" i="7" s="1"/>
  <c r="AH141" i="7" a="1"/>
  <c r="AH141" i="7" s="1"/>
  <c r="AI141" i="7" s="1"/>
  <c r="AJ141" i="7" s="1"/>
  <c r="AH77" i="7" a="1"/>
  <c r="AH77" i="7" s="1"/>
  <c r="AI77" i="7" s="1"/>
  <c r="AJ77" i="7" s="1"/>
  <c r="AH96" i="7" a="1"/>
  <c r="AH96" i="7" s="1"/>
  <c r="AI96" i="7" s="1"/>
  <c r="AJ96" i="7" s="1"/>
  <c r="AH36" i="7" a="1"/>
  <c r="AH36" i="7" s="1"/>
  <c r="AI36" i="7" s="1"/>
  <c r="AJ36" i="7" s="1"/>
  <c r="AH121" i="7" a="1"/>
  <c r="AH121" i="7" s="1"/>
  <c r="AI121" i="7" s="1"/>
  <c r="AJ121" i="7" s="1"/>
  <c r="AH57" i="7" a="1"/>
  <c r="AH57" i="7" s="1"/>
  <c r="AI57" i="7" s="1"/>
  <c r="AJ57" i="7" s="1"/>
  <c r="AH129" i="7" a="1"/>
  <c r="AH129" i="7" s="1"/>
  <c r="AI129" i="7" s="1"/>
  <c r="AJ129" i="7" s="1"/>
  <c r="AH65" i="7" a="1"/>
  <c r="AH65" i="7" s="1"/>
  <c r="AI65" i="7" s="1"/>
  <c r="AJ65" i="7" s="1"/>
  <c r="AH120" i="7" a="1"/>
  <c r="AH120" i="7" s="1"/>
  <c r="AI120" i="7" s="1"/>
  <c r="AJ120" i="7" s="1"/>
  <c r="AH56" i="7" a="1"/>
  <c r="AH56" i="7" s="1"/>
  <c r="AI56" i="7" s="1"/>
  <c r="AJ56" i="7" s="1"/>
  <c r="AH145" i="7" a="1"/>
  <c r="AH145" i="7" s="1"/>
  <c r="AI145" i="7" s="1"/>
  <c r="AJ145" i="7" s="1"/>
  <c r="AH81" i="7" a="1"/>
  <c r="AH81" i="7" s="1"/>
  <c r="AI81" i="7" s="1"/>
  <c r="AJ81" i="7" s="1"/>
  <c r="AH18" i="7" a="1"/>
  <c r="AH18" i="7" s="1"/>
  <c r="AI18" i="7" s="1"/>
  <c r="AJ18" i="7" s="1"/>
  <c r="AH89" i="7" a="1"/>
  <c r="AH89" i="7" s="1"/>
  <c r="AI89" i="7" s="1"/>
  <c r="AJ89" i="7" s="1"/>
  <c r="AH23" i="7" a="1"/>
  <c r="AH23" i="7" s="1"/>
  <c r="AI23" i="7" s="1"/>
  <c r="AJ23" i="7" s="1"/>
  <c r="AH132" i="7" a="1"/>
  <c r="AH132" i="7" s="1"/>
  <c r="AI132" i="7" s="1"/>
  <c r="AJ132" i="7" s="1"/>
  <c r="AH68" i="7" a="1"/>
  <c r="AH68" i="7" s="1"/>
  <c r="AI68" i="7" s="1"/>
  <c r="AJ68" i="7" s="1"/>
  <c r="AH16" i="7" a="1"/>
  <c r="AH16" i="7" s="1"/>
  <c r="AI16" i="7" s="1"/>
  <c r="AJ16" i="7" s="1"/>
  <c r="AH93" i="7" a="1"/>
  <c r="AH93" i="7" s="1"/>
  <c r="AI93" i="7" s="1"/>
  <c r="AJ93" i="7" s="1"/>
  <c r="AH31" i="7" a="1"/>
  <c r="AH31" i="7" s="1"/>
  <c r="AI31" i="7" s="1"/>
  <c r="AJ31" i="7" s="1"/>
  <c r="AH104" i="7" a="1"/>
  <c r="AH104" i="7" s="1"/>
  <c r="AI104" i="7" s="1"/>
  <c r="AJ104" i="7" s="1"/>
  <c r="AH40" i="7" a="1"/>
  <c r="AH40" i="7" s="1"/>
  <c r="AI40" i="7" s="1"/>
  <c r="AJ40" i="7" s="1"/>
  <c r="AH112" i="7" a="1"/>
  <c r="AH112" i="7" s="1"/>
  <c r="AI112" i="7" s="1"/>
  <c r="AJ112" i="7" s="1"/>
  <c r="AH48" i="7" a="1"/>
  <c r="AH48" i="7" s="1"/>
  <c r="AI48" i="7" s="1"/>
  <c r="AJ48" i="7" s="1"/>
  <c r="AH117" i="7" a="1"/>
  <c r="AH117" i="7" s="1"/>
  <c r="AI117" i="7" s="1"/>
  <c r="AJ117" i="7" s="1"/>
  <c r="AH53" i="7" a="1"/>
  <c r="AH53" i="7" s="1"/>
  <c r="AI53" i="7" s="1"/>
  <c r="AJ53" i="7" s="1"/>
  <c r="AH128" i="7" a="1"/>
  <c r="AH128" i="7" s="1"/>
  <c r="AI128" i="7" s="1"/>
  <c r="AJ128" i="7" s="1"/>
  <c r="AH64" i="7" a="1"/>
  <c r="AH64" i="7" s="1"/>
  <c r="AI64" i="7" s="1"/>
  <c r="AJ64" i="7" s="1"/>
  <c r="AH136" i="7" a="1"/>
  <c r="AH136" i="7" s="1"/>
  <c r="AI136" i="7" s="1"/>
  <c r="AJ136" i="7" s="1"/>
  <c r="AH72" i="7" a="1"/>
  <c r="AH72" i="7" s="1"/>
  <c r="AI72" i="7" s="1"/>
  <c r="AJ72" i="7" s="1"/>
  <c r="AH127" i="7" a="1"/>
  <c r="AH127" i="7" s="1"/>
  <c r="AI127" i="7" s="1"/>
  <c r="AJ127" i="7" s="1"/>
  <c r="AH63" i="7" a="1"/>
  <c r="AH63" i="7" s="1"/>
  <c r="AI63" i="7" s="1"/>
  <c r="AJ63" i="7" s="1"/>
  <c r="AH148" i="7" a="1"/>
  <c r="AH148" i="7" s="1"/>
  <c r="AI148" i="7" s="1"/>
  <c r="AJ148" i="7" s="1"/>
  <c r="AH84" i="7" a="1"/>
  <c r="AH84" i="7" s="1"/>
  <c r="AI84" i="7" s="1"/>
  <c r="AJ84" i="7" s="1"/>
  <c r="AH22" i="7" a="1"/>
  <c r="AH22" i="7" s="1"/>
  <c r="AI22" i="7" s="1"/>
  <c r="AJ22" i="7" s="1"/>
  <c r="AH101" i="7" a="1"/>
  <c r="AH101" i="7" s="1"/>
  <c r="AI101" i="7" s="1"/>
  <c r="AJ101" i="7" s="1"/>
  <c r="AH35" i="7" a="1"/>
  <c r="AH35" i="7" s="1"/>
  <c r="AI35" i="7" s="1"/>
  <c r="AJ35" i="7" s="1"/>
  <c r="AH109" i="7" a="1"/>
  <c r="AH109" i="7" s="1"/>
  <c r="AI109" i="7" s="1"/>
  <c r="AJ109" i="7" s="1"/>
  <c r="AH45" i="7" a="1"/>
  <c r="AH45" i="7" s="1"/>
  <c r="AI45" i="7" s="1"/>
  <c r="AJ45" i="7" s="1"/>
  <c r="AH108" i="7" a="1"/>
  <c r="AH108" i="7" s="1"/>
  <c r="AI108" i="7" s="1"/>
  <c r="AJ108" i="7" s="1"/>
  <c r="AH44" i="7" a="1"/>
  <c r="AH44" i="7" s="1"/>
  <c r="AI44" i="7" s="1"/>
  <c r="AJ44" i="7" s="1"/>
  <c r="AH125" i="7" a="1"/>
  <c r="AH125" i="7" s="1"/>
  <c r="AI125" i="7" s="1"/>
  <c r="AJ125" i="7" s="1"/>
  <c r="AH61" i="7" a="1"/>
  <c r="AH61" i="7" s="1"/>
  <c r="AI61" i="7" s="1"/>
  <c r="AJ61" i="7" s="1"/>
  <c r="AH133" i="7" a="1"/>
  <c r="AH133" i="7" s="1"/>
  <c r="AI133" i="7" s="1"/>
  <c r="AJ133" i="7" s="1"/>
  <c r="AH69" i="7" a="1"/>
  <c r="AH69" i="7" s="1"/>
  <c r="AI69" i="7" s="1"/>
  <c r="AJ69" i="7" s="1"/>
  <c r="AH17" i="7" a="1"/>
  <c r="AH17" i="7" s="1"/>
  <c r="AI17" i="7" s="1"/>
  <c r="AJ17" i="7" s="1"/>
  <c r="AH123" i="7" a="1"/>
  <c r="AH123" i="7" s="1"/>
  <c r="AI123" i="7" s="1"/>
  <c r="AJ123" i="7" s="1"/>
  <c r="AH59" i="7" a="1"/>
  <c r="AH59" i="7" s="1"/>
  <c r="AI59" i="7" s="1"/>
  <c r="AJ59" i="7" s="1"/>
  <c r="AH143" i="7" a="1"/>
  <c r="AH143" i="7" s="1"/>
  <c r="AI143" i="7" s="1"/>
  <c r="AJ143" i="7" s="1"/>
  <c r="AH79" i="7" a="1"/>
  <c r="AH79" i="7" s="1"/>
  <c r="AI79" i="7" s="1"/>
  <c r="AJ79" i="7" s="1"/>
  <c r="AH92" i="7" a="1"/>
  <c r="AH92" i="7" s="1"/>
  <c r="AI92" i="7" s="1"/>
  <c r="AJ92" i="7" s="1"/>
  <c r="AH25" i="7" a="1"/>
  <c r="AH25" i="7" s="1"/>
  <c r="AI25" i="7" s="1"/>
  <c r="AJ25" i="7" s="1"/>
  <c r="AH100" i="7" a="1"/>
  <c r="AH100" i="7" s="1"/>
  <c r="AI100" i="7" s="1"/>
  <c r="AJ100" i="7" s="1"/>
  <c r="AH34" i="7" a="1"/>
  <c r="AH34" i="7" s="1"/>
  <c r="AI34" i="7" s="1"/>
  <c r="AJ34" i="7" s="1"/>
  <c r="AH103" i="7" a="1"/>
  <c r="AH103" i="7" s="1"/>
  <c r="AI103" i="7" s="1"/>
  <c r="AJ103" i="7" s="1"/>
  <c r="AH39" i="7" a="1"/>
  <c r="AH39" i="7" s="1"/>
  <c r="AI39" i="7" s="1"/>
  <c r="AJ39" i="7" s="1"/>
  <c r="AH116" i="7" a="1"/>
  <c r="AH116" i="7" s="1"/>
  <c r="AI116" i="7" s="1"/>
  <c r="AJ116" i="7" s="1"/>
  <c r="AH52" i="7" a="1"/>
  <c r="AH52" i="7" s="1"/>
  <c r="AI52" i="7" s="1"/>
  <c r="AJ52" i="7" s="1"/>
  <c r="AH124" i="7" a="1"/>
  <c r="AH124" i="7" s="1"/>
  <c r="AI124" i="7" s="1"/>
  <c r="AJ124" i="7" s="1"/>
  <c r="AH60" i="7" a="1"/>
  <c r="AH60" i="7" s="1"/>
  <c r="AI60" i="7" s="1"/>
  <c r="AJ60" i="7" s="1"/>
  <c r="AH114" i="7" a="1"/>
  <c r="AH114" i="7" s="1"/>
  <c r="AI114" i="7" s="1"/>
  <c r="AJ114" i="7" s="1"/>
  <c r="AH50" i="7" a="1"/>
  <c r="AH50" i="7" s="1"/>
  <c r="AI50" i="7" s="1"/>
  <c r="AJ50" i="7" s="1"/>
  <c r="AH139" i="7" a="1"/>
  <c r="AH139" i="7" s="1"/>
  <c r="AI139" i="7" s="1"/>
  <c r="AJ139" i="7" s="1"/>
  <c r="AH75" i="7" a="1"/>
  <c r="AH75" i="7" s="1"/>
  <c r="AI75" i="7" s="1"/>
  <c r="AJ75" i="7" s="1"/>
  <c r="AH87" i="7" a="1"/>
  <c r="AH87" i="7" s="1"/>
  <c r="AI87" i="7" s="1"/>
  <c r="AJ87" i="7" s="1"/>
  <c r="AH21" i="7" a="1"/>
  <c r="AH21" i="7" s="1"/>
  <c r="AI21" i="7" s="1"/>
  <c r="AJ21" i="7" s="1"/>
  <c r="AH95" i="7" a="1"/>
  <c r="AH95" i="7" s="1"/>
  <c r="AI95" i="7" s="1"/>
  <c r="AJ95" i="7" s="1"/>
  <c r="AH20" i="7" a="1"/>
  <c r="AH20" i="7" s="1"/>
  <c r="AI20" i="7" s="1"/>
  <c r="AJ20" i="7" s="1"/>
  <c r="AH99" i="7" a="1"/>
  <c r="AH99" i="7" s="1"/>
  <c r="AI99" i="7" s="1"/>
  <c r="AJ99" i="7" s="1"/>
  <c r="AH30" i="7" a="1"/>
  <c r="AH30" i="7" s="1"/>
  <c r="AI30" i="7" s="1"/>
  <c r="AJ30" i="7" s="1"/>
  <c r="AH111" i="7" a="1"/>
  <c r="AH111" i="7" s="1"/>
  <c r="AI111" i="7" s="1"/>
  <c r="AJ111" i="7" s="1"/>
  <c r="AH47" i="7" a="1"/>
  <c r="AH47" i="7" s="1"/>
  <c r="AI47" i="7" s="1"/>
  <c r="AJ47" i="7" s="1"/>
  <c r="AH119" i="7" a="1"/>
  <c r="AH119" i="7" s="1"/>
  <c r="AI119" i="7" s="1"/>
  <c r="AJ119" i="7" s="1"/>
  <c r="AH55" i="7" a="1"/>
  <c r="AH55" i="7" s="1"/>
  <c r="AI55" i="7" s="1"/>
  <c r="AJ55" i="7" s="1"/>
  <c r="AH102" i="7" a="1"/>
  <c r="AH102" i="7" s="1"/>
  <c r="AI102" i="7" s="1"/>
  <c r="AJ102" i="7" s="1"/>
  <c r="AH38" i="7" a="1"/>
  <c r="AH38" i="7" s="1"/>
  <c r="AI38" i="7" s="1"/>
  <c r="AJ38" i="7" s="1"/>
  <c r="AH130" i="7" a="1"/>
  <c r="AH130" i="7" s="1"/>
  <c r="AI130" i="7" s="1"/>
  <c r="AJ130" i="7" s="1"/>
  <c r="AH66" i="7" a="1"/>
  <c r="AH66" i="7" s="1"/>
  <c r="AI66" i="7" s="1"/>
  <c r="AJ66" i="7" s="1"/>
  <c r="AH147" i="7" a="1"/>
  <c r="AH147" i="7" s="1"/>
  <c r="AI147" i="7" s="1"/>
  <c r="AJ147" i="7" s="1"/>
  <c r="AH83" i="7" a="1"/>
  <c r="AH83" i="7" s="1"/>
  <c r="AI83" i="7" s="1"/>
  <c r="AJ83" i="7" s="1"/>
  <c r="AH91" i="7" a="1"/>
  <c r="AH91" i="7" s="1"/>
  <c r="AI91" i="7" s="1"/>
  <c r="AJ91" i="7" s="1"/>
  <c r="AH90" i="7" a="1"/>
  <c r="AH90" i="7" s="1"/>
  <c r="AI90" i="7" s="1"/>
  <c r="AJ90" i="7" s="1"/>
  <c r="AH24" i="7" a="1"/>
  <c r="AH24" i="7" s="1"/>
  <c r="AI24" i="7" s="1"/>
  <c r="AJ24" i="7" s="1"/>
  <c r="AH107" i="7" a="1"/>
  <c r="AH107" i="7" s="1"/>
  <c r="AI107" i="7" s="1"/>
  <c r="AJ107" i="7" s="1"/>
  <c r="AH43" i="7" a="1"/>
  <c r="AH43" i="7" s="1"/>
  <c r="AI43" i="7" s="1"/>
  <c r="AJ43" i="7" s="1"/>
  <c r="AH115" i="7" a="1"/>
  <c r="AH115" i="7" s="1"/>
  <c r="AI115" i="7" s="1"/>
  <c r="AJ115" i="7" s="1"/>
  <c r="AH51" i="7" a="1"/>
  <c r="AH51" i="7" s="1"/>
  <c r="AI51" i="7" s="1"/>
  <c r="AJ51" i="7" s="1"/>
  <c r="AH97" i="7" a="1"/>
  <c r="AH97" i="7" s="1"/>
  <c r="AI97" i="7" s="1"/>
  <c r="AJ97" i="7" s="1"/>
  <c r="AH32" i="7" a="1"/>
  <c r="AH32" i="7" s="1"/>
  <c r="AI32" i="7" s="1"/>
  <c r="AJ32" i="7" s="1"/>
  <c r="AH118" i="7" a="1"/>
  <c r="AH118" i="7" s="1"/>
  <c r="AI118" i="7" s="1"/>
  <c r="AJ118" i="7" s="1"/>
  <c r="AH54" i="7" a="1"/>
  <c r="AH54" i="7" s="1"/>
  <c r="AI54" i="7" s="1"/>
  <c r="AJ54" i="7" s="1"/>
  <c r="AH138" i="7" a="1"/>
  <c r="AH138" i="7" s="1"/>
  <c r="AI138" i="7" s="1"/>
  <c r="AJ138" i="7" s="1"/>
  <c r="AH74" i="7" a="1"/>
  <c r="AH74" i="7" s="1"/>
  <c r="AI74" i="7" s="1"/>
  <c r="AJ74" i="7" s="1"/>
  <c r="AH146" i="7" a="1"/>
  <c r="AH146" i="7" s="1"/>
  <c r="AI146" i="7" s="1"/>
  <c r="AJ146" i="7" s="1"/>
  <c r="AH82" i="7" a="1"/>
  <c r="AH82" i="7" s="1"/>
  <c r="AI82" i="7" s="1"/>
  <c r="AJ82" i="7" s="1"/>
  <c r="AH142" i="7" a="1"/>
  <c r="AH142" i="7" s="1"/>
  <c r="AI142" i="7" s="1"/>
  <c r="AJ142" i="7" s="1"/>
  <c r="AH78" i="7" a="1"/>
  <c r="AH78" i="7" s="1"/>
  <c r="AI78" i="7" s="1"/>
  <c r="AJ78" i="7" s="1"/>
  <c r="AH19" i="7" a="1"/>
  <c r="AH19" i="7" s="1"/>
  <c r="AI19" i="7" s="1"/>
  <c r="AJ19" i="7" s="1"/>
  <c r="AH98" i="7" a="1"/>
  <c r="AH98" i="7" s="1"/>
  <c r="AI98" i="7" s="1"/>
  <c r="AJ98" i="7" s="1"/>
  <c r="AH33" i="7" a="1"/>
  <c r="AH33" i="7" s="1"/>
  <c r="AI33" i="7" s="1"/>
  <c r="AJ33" i="7" s="1"/>
  <c r="AH106" i="7" a="1"/>
  <c r="AH106" i="7" s="1"/>
  <c r="AI106" i="7" s="1"/>
  <c r="AJ106" i="7" s="1"/>
  <c r="AH42" i="7" a="1"/>
  <c r="AH42" i="7" s="1"/>
  <c r="AI42" i="7" s="1"/>
  <c r="AJ42" i="7" s="1"/>
  <c r="AH144" i="7" a="1"/>
  <c r="AH144" i="7" s="1"/>
  <c r="AI144" i="7" s="1"/>
  <c r="AJ144" i="7" s="1"/>
  <c r="AH80" i="7" a="1"/>
  <c r="AH80" i="7" s="1"/>
  <c r="AI80" i="7" s="1"/>
  <c r="AJ80" i="7" s="1"/>
  <c r="AH27" i="7" a="1"/>
  <c r="AH27" i="7" s="1"/>
  <c r="AI27" i="7" s="1"/>
  <c r="AJ27" i="7" s="1"/>
  <c r="AH113" i="7" a="1"/>
  <c r="AH113" i="7" s="1"/>
  <c r="AI113" i="7" s="1"/>
  <c r="AJ113" i="7" s="1"/>
  <c r="AH49" i="7" a="1"/>
  <c r="AH49" i="7" s="1"/>
  <c r="AI49" i="7" s="1"/>
  <c r="AJ49" i="7" s="1"/>
  <c r="AH126" i="7" a="1"/>
  <c r="AH126" i="7" s="1"/>
  <c r="AI126" i="7" s="1"/>
  <c r="AJ126" i="7" s="1"/>
  <c r="AH62" i="7" a="1"/>
  <c r="AH62" i="7" s="1"/>
  <c r="AI62" i="7" s="1"/>
  <c r="AJ62" i="7" s="1"/>
  <c r="AH134" i="7" a="1"/>
  <c r="AH134" i="7" s="1"/>
  <c r="AI134" i="7" s="1"/>
  <c r="AJ134" i="7" s="1"/>
  <c r="AH70" i="7" a="1"/>
  <c r="AH70" i="7" s="1"/>
  <c r="AI70" i="7" s="1"/>
  <c r="AJ70" i="7" s="1"/>
  <c r="AH137" i="7" a="1"/>
  <c r="AH137" i="7" s="1"/>
  <c r="AI137" i="7" s="1"/>
  <c r="AJ137" i="7" s="1"/>
  <c r="AH73" i="7" a="1"/>
  <c r="AH73" i="7" s="1"/>
  <c r="AI73" i="7" s="1"/>
  <c r="AJ73" i="7" s="1"/>
  <c r="AH150" i="7" a="1"/>
  <c r="AH150" i="7" s="1"/>
  <c r="AI150" i="7" s="1"/>
  <c r="AJ150" i="7" s="1"/>
  <c r="AH86" i="7" a="1"/>
  <c r="AH86" i="7" s="1"/>
  <c r="AI86" i="7" s="1"/>
  <c r="AJ86" i="7" s="1"/>
  <c r="AH29" i="7" a="1"/>
  <c r="AH29" i="7" s="1"/>
  <c r="AI29" i="7" s="1"/>
  <c r="AJ29" i="7" s="1"/>
  <c r="AH94" i="7" a="1"/>
  <c r="AH94" i="7" s="1"/>
  <c r="AI94" i="7" s="1"/>
  <c r="AJ94" i="7" s="1"/>
  <c r="AH28" i="7" a="1"/>
  <c r="AH28" i="7" s="1"/>
  <c r="AI28" i="7" s="1"/>
  <c r="AJ28" i="7" s="1"/>
  <c r="AI306" i="7"/>
  <c r="AI314" i="7"/>
  <c r="AI313" i="7"/>
  <c r="AI311" i="7"/>
  <c r="AI308" i="7"/>
  <c r="AI309" i="7"/>
  <c r="AI310" i="7"/>
  <c r="AI312" i="7"/>
  <c r="Y28" i="7"/>
  <c r="AC315" i="7"/>
  <c r="AC313" i="7"/>
  <c r="AH313" i="7" s="1"/>
  <c r="AC311" i="7"/>
  <c r="AH311" i="7" s="1"/>
  <c r="AC309" i="7"/>
  <c r="AH309" i="7" s="1"/>
  <c r="AC307" i="7"/>
  <c r="AH307" i="7" s="1"/>
  <c r="AC314" i="7"/>
  <c r="AH314" i="7" s="1"/>
  <c r="AC312" i="7"/>
  <c r="AH312" i="7" s="1"/>
  <c r="AC310" i="7"/>
  <c r="AH310" i="7" s="1"/>
  <c r="AC308" i="7"/>
  <c r="AH308" i="7" s="1"/>
  <c r="AC306" i="7"/>
  <c r="AH306" i="7" s="1"/>
  <c r="AS25" i="6"/>
  <c r="AR25" i="6"/>
  <c r="BB21" i="6"/>
  <c r="BB22" i="6" s="1"/>
  <c r="BB23" i="6"/>
  <c r="AH177" i="6"/>
  <c r="AH168" i="6"/>
  <c r="AH174" i="6"/>
  <c r="AH169" i="6"/>
  <c r="AH173" i="6"/>
  <c r="AH171" i="6"/>
  <c r="AH172" i="6"/>
  <c r="AH170" i="6"/>
  <c r="AH175" i="6"/>
  <c r="AH176" i="6"/>
  <c r="AB177" i="6"/>
  <c r="AB175" i="6"/>
  <c r="AG175" i="6" s="1"/>
  <c r="AB173" i="6"/>
  <c r="AG173" i="6" s="1"/>
  <c r="AB171" i="6"/>
  <c r="AG171" i="6" s="1"/>
  <c r="AB169" i="6"/>
  <c r="AG169" i="6" s="1"/>
  <c r="AB176" i="6"/>
  <c r="AG176" i="6" s="1"/>
  <c r="AB174" i="6"/>
  <c r="AG174" i="6" s="1"/>
  <c r="AB172" i="6"/>
  <c r="AG172" i="6" s="1"/>
  <c r="AB170" i="6"/>
  <c r="AG170" i="6" s="1"/>
  <c r="AB168" i="6"/>
  <c r="AG168" i="6" s="1"/>
  <c r="Y28" i="6"/>
  <c r="Y27" i="6" s="1"/>
  <c r="Y43" i="6"/>
  <c r="AA44" i="6"/>
  <c r="AA44" i="7" l="1"/>
  <c r="AD38" i="7" s="1"/>
  <c r="AC172" i="6"/>
  <c r="AD174" i="6"/>
  <c r="AF312" i="7"/>
  <c r="AE309" i="7"/>
  <c r="BB21" i="7"/>
  <c r="BB22" i="7" s="1"/>
  <c r="AE312" i="7"/>
  <c r="AE308" i="7"/>
  <c r="AD312" i="7"/>
  <c r="AF307" i="7"/>
  <c r="AF311" i="7"/>
  <c r="AF310" i="7"/>
  <c r="AD311" i="7"/>
  <c r="AE310" i="7"/>
  <c r="AF309" i="7"/>
  <c r="AE311" i="7"/>
  <c r="AF314" i="7"/>
  <c r="AD309" i="7"/>
  <c r="AD307" i="7"/>
  <c r="AE314" i="7"/>
  <c r="AD314" i="7"/>
  <c r="AE307" i="7"/>
  <c r="AD308" i="7"/>
  <c r="AD313" i="7"/>
  <c r="AD35" i="7"/>
  <c r="AE43" i="7"/>
  <c r="AA43" i="7"/>
  <c r="AB43" i="7" s="1"/>
  <c r="AC43" i="7" s="1"/>
  <c r="AD43" i="7"/>
  <c r="AS34" i="7"/>
  <c r="AS35" i="7"/>
  <c r="AS30" i="7"/>
  <c r="AS29" i="7"/>
  <c r="AD306" i="7"/>
  <c r="AH315" i="7"/>
  <c r="AE315" i="7"/>
  <c r="AF315" i="7"/>
  <c r="AD315" i="7"/>
  <c r="AF313" i="7"/>
  <c r="AE306" i="7"/>
  <c r="Y27" i="7"/>
  <c r="AA28" i="7"/>
  <c r="AD310" i="7"/>
  <c r="AF308" i="7"/>
  <c r="AE313" i="7"/>
  <c r="AF306" i="7"/>
  <c r="AR30" i="7"/>
  <c r="AR35" i="7"/>
  <c r="AR29" i="7"/>
  <c r="AR34" i="7"/>
  <c r="AA28" i="6"/>
  <c r="AE27" i="6" s="1"/>
  <c r="AE176" i="6"/>
  <c r="AC170" i="6"/>
  <c r="AE171" i="6"/>
  <c r="AE168" i="6"/>
  <c r="AD176" i="6"/>
  <c r="AE170" i="6"/>
  <c r="AD171" i="6"/>
  <c r="AE169" i="6"/>
  <c r="AC176" i="6"/>
  <c r="AC171" i="6"/>
  <c r="AD169" i="6"/>
  <c r="AC168" i="6"/>
  <c r="AE175" i="6"/>
  <c r="AD172" i="6"/>
  <c r="AC175" i="6"/>
  <c r="AE173" i="6"/>
  <c r="AE174" i="6"/>
  <c r="AD175" i="6"/>
  <c r="AD173" i="6"/>
  <c r="AG177" i="6"/>
  <c r="AC177" i="6"/>
  <c r="AD177" i="6"/>
  <c r="AE177" i="6"/>
  <c r="AE172" i="6"/>
  <c r="AC173" i="6"/>
  <c r="AC174" i="6"/>
  <c r="AR34" i="6"/>
  <c r="AR35" i="6"/>
  <c r="AR29" i="6"/>
  <c r="AR30" i="6"/>
  <c r="AD170" i="6"/>
  <c r="AC169" i="6"/>
  <c r="AD168" i="6"/>
  <c r="AS34" i="6"/>
  <c r="AS30" i="6"/>
  <c r="AS29" i="6"/>
  <c r="AS35" i="6"/>
  <c r="AD23" i="6"/>
  <c r="AD22" i="6"/>
  <c r="AD27" i="6"/>
  <c r="AA27" i="6"/>
  <c r="AB27" i="6" s="1"/>
  <c r="AC27" i="6" s="1"/>
  <c r="AD35" i="6"/>
  <c r="AD39" i="6"/>
  <c r="AD37" i="6"/>
  <c r="AD36" i="6"/>
  <c r="AF43" i="6"/>
  <c r="AD38" i="6"/>
  <c r="AE43" i="6"/>
  <c r="AD43" i="6"/>
  <c r="AA43" i="6"/>
  <c r="AB43" i="6" s="1"/>
  <c r="AC43" i="6" s="1"/>
  <c r="AG306" i="7"/>
  <c r="AF177" i="6"/>
  <c r="AF176" i="6"/>
  <c r="AF175" i="6"/>
  <c r="AG307" i="7"/>
  <c r="AG311" i="7"/>
  <c r="AF171" i="6"/>
  <c r="AF169" i="6"/>
  <c r="AG312" i="7"/>
  <c r="AG313" i="7"/>
  <c r="AG315" i="7"/>
  <c r="AG314" i="7"/>
  <c r="AF173" i="6"/>
  <c r="AF174" i="6"/>
  <c r="AG310" i="7"/>
  <c r="AF172" i="6"/>
  <c r="AG308" i="7"/>
  <c r="AF168" i="6"/>
  <c r="AF170" i="6"/>
  <c r="AG309" i="7"/>
  <c r="AF27" i="6" l="1"/>
  <c r="AD36" i="7"/>
  <c r="AF36" i="7" s="1"/>
  <c r="AF43" i="7"/>
  <c r="AD37" i="7"/>
  <c r="AF37" i="7" s="1"/>
  <c r="AD39" i="7"/>
  <c r="AF39" i="7" s="1"/>
  <c r="AD19" i="6"/>
  <c r="AE19" i="6" s="1"/>
  <c r="AD20" i="6"/>
  <c r="AE20" i="6" s="1"/>
  <c r="AD21" i="6"/>
  <c r="AE21" i="6" s="1"/>
  <c r="AD23" i="7"/>
  <c r="AD19" i="7"/>
  <c r="AD22" i="7"/>
  <c r="AF27" i="7"/>
  <c r="AD21" i="7"/>
  <c r="AD20" i="7"/>
  <c r="AE27" i="7"/>
  <c r="AD27" i="7"/>
  <c r="AA27" i="7"/>
  <c r="AB27" i="7" s="1"/>
  <c r="AC27" i="7" s="1"/>
  <c r="AE38" i="7"/>
  <c r="AF38" i="7"/>
  <c r="AE35" i="7"/>
  <c r="AF35" i="7"/>
  <c r="AE38" i="6"/>
  <c r="AF38" i="6"/>
  <c r="AF20" i="6"/>
  <c r="AE36" i="6"/>
  <c r="AF36" i="6"/>
  <c r="AF37" i="6"/>
  <c r="AE37" i="6"/>
  <c r="AF22" i="6"/>
  <c r="AE22" i="6"/>
  <c r="AE39" i="6"/>
  <c r="AF39" i="6"/>
  <c r="AF35" i="6"/>
  <c r="AE35" i="6"/>
  <c r="AF23" i="6"/>
  <c r="AE23" i="6"/>
  <c r="AF19" i="6"/>
  <c r="AF21" i="6" l="1"/>
  <c r="AE36" i="7"/>
  <c r="AE39" i="7"/>
  <c r="AE37" i="7"/>
  <c r="AE19" i="7"/>
  <c r="AF19" i="7"/>
  <c r="AE23" i="7"/>
  <c r="AF23" i="7"/>
  <c r="AE20" i="7"/>
  <c r="AF20" i="7"/>
  <c r="AE22" i="7"/>
  <c r="AF22" i="7"/>
  <c r="AE21" i="7"/>
  <c r="AF21" i="7"/>
  <c r="E136" i="6" l="1"/>
  <c r="E135" i="6"/>
  <c r="E134" i="6"/>
  <c r="E133" i="6"/>
  <c r="E132" i="6"/>
  <c r="E131" i="6"/>
  <c r="E130" i="6"/>
  <c r="E129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E2" i="6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2" i="5"/>
</calcChain>
</file>

<file path=xl/sharedStrings.xml><?xml version="1.0" encoding="utf-8"?>
<sst xmlns="http://schemas.openxmlformats.org/spreadsheetml/2006/main" count="3218" uniqueCount="344">
  <si>
    <t>PLAN DE ANALISIS</t>
  </si>
  <si>
    <t>ANALISISI EXPLORATORORIO DE DATSO</t>
  </si>
  <si>
    <t>DECRIBIR LA MUESTRA</t>
  </si>
  <si>
    <t>n</t>
  </si>
  <si>
    <t>Mean</t>
  </si>
  <si>
    <t>Standard Error</t>
  </si>
  <si>
    <t>Median</t>
  </si>
  <si>
    <t>Maximum</t>
  </si>
  <si>
    <t>Minimum</t>
  </si>
  <si>
    <t>IQR</t>
  </si>
  <si>
    <t>SEXO</t>
  </si>
  <si>
    <t>I</t>
  </si>
  <si>
    <t>II ALTO</t>
  </si>
  <si>
    <t>II BAJO</t>
  </si>
  <si>
    <t>III ALTO</t>
  </si>
  <si>
    <t>III BAJO</t>
  </si>
  <si>
    <t xml:space="preserve">Total </t>
  </si>
  <si>
    <t>Z de proporciones</t>
  </si>
  <si>
    <t>Determinar la homogemeneidad de la muestra</t>
  </si>
  <si>
    <t>One-way MANOVA</t>
  </si>
  <si>
    <t>ANOVA II</t>
  </si>
  <si>
    <t>Determinar la diferncia Clase y/o Sexo por nagulo</t>
  </si>
  <si>
    <t>ang der</t>
  </si>
  <si>
    <t>p-value</t>
  </si>
  <si>
    <t>MANOVA</t>
  </si>
  <si>
    <t>Determinar al diferncias angulo der-izq por CLASE</t>
  </si>
  <si>
    <t>Total</t>
  </si>
  <si>
    <t>Pillai Trace</t>
  </si>
  <si>
    <t>ANOVA</t>
  </si>
  <si>
    <t>Determinar diferencais entre clase por angulo</t>
  </si>
  <si>
    <t>Z proportions p-value</t>
  </si>
  <si>
    <t>Wilk's Lambda</t>
  </si>
  <si>
    <t>POSHOC TUCKEY</t>
  </si>
  <si>
    <t>Ubicar las diferncias</t>
  </si>
  <si>
    <t>Edad</t>
  </si>
  <si>
    <t>Hotelling Trace</t>
  </si>
  <si>
    <t>Software Real Statistisc V8.7 mayo 2023</t>
  </si>
  <si>
    <t>ang izq</t>
  </si>
  <si>
    <t>Multiple ANOVA</t>
  </si>
  <si>
    <t>Q TEST:TUKEY HSD/KRAMER</t>
  </si>
  <si>
    <t>Groups</t>
  </si>
  <si>
    <t>Lower</t>
  </si>
  <si>
    <t>Upper</t>
  </si>
  <si>
    <t>P value</t>
  </si>
  <si>
    <t>SW p-value</t>
  </si>
  <si>
    <t>group 1</t>
  </si>
  <si>
    <t>group 2</t>
  </si>
  <si>
    <t>mean</t>
  </si>
  <si>
    <t>Two Factor Anova</t>
  </si>
  <si>
    <t>Clase</t>
  </si>
  <si>
    <t>Sexo</t>
  </si>
  <si>
    <t>medicion</t>
  </si>
  <si>
    <t>HISTORIA</t>
  </si>
  <si>
    <t>pacientes</t>
  </si>
  <si>
    <t>sexo</t>
  </si>
  <si>
    <t>edad</t>
  </si>
  <si>
    <t>clase esque</t>
  </si>
  <si>
    <t xml:space="preserve">PACIENTES </t>
  </si>
  <si>
    <t xml:space="preserve">1.6 Objetivos </t>
  </si>
  <si>
    <t>(Todas)</t>
  </si>
  <si>
    <t>1CL1</t>
  </si>
  <si>
    <t>M=1</t>
  </si>
  <si>
    <t>Objetivo General</t>
  </si>
  <si>
    <t>Input in Excel Anova format</t>
  </si>
  <si>
    <t>2CL1</t>
  </si>
  <si>
    <t>F=2</t>
  </si>
  <si>
    <t>Evaluar el ACH en maloclusiones clase I, II y III utilizando imágenes 3D CBCT  </t>
  </si>
  <si>
    <t>Etiquetas de fila</t>
  </si>
  <si>
    <t>3CL1</t>
  </si>
  <si>
    <t>COUNT</t>
  </si>
  <si>
    <t>Alpha</t>
  </si>
  <si>
    <t>Promedio de ang izq</t>
  </si>
  <si>
    <t>Etiquetas de columna</t>
  </si>
  <si>
    <t>4CL1</t>
  </si>
  <si>
    <t>Objetivos Específicos</t>
  </si>
  <si>
    <t>SS</t>
  </si>
  <si>
    <t>df</t>
  </si>
  <si>
    <t>MS</t>
  </si>
  <si>
    <t>F</t>
  </si>
  <si>
    <t>p eta-sq</t>
  </si>
  <si>
    <t>Total general</t>
  </si>
  <si>
    <t>5CL1</t>
  </si>
  <si>
    <t>·         Analizar el ACH en maloclusiones de clase II de ángulo alto y ángulo bajo</t>
  </si>
  <si>
    <t>Rows</t>
  </si>
  <si>
    <t>6CL1</t>
  </si>
  <si>
    <t>·         Identificar el ACH en maloclusiones de clase III de ángulo alto y ángulo bajo</t>
  </si>
  <si>
    <t>Columns</t>
  </si>
  <si>
    <t>7CL1</t>
  </si>
  <si>
    <t xml:space="preserve">·         Examinar la presencia de alteraciones de la forma condilar </t>
  </si>
  <si>
    <t>Inter</t>
  </si>
  <si>
    <t>8CL1</t>
  </si>
  <si>
    <t>·         Determinar la clasificación esquelética y el tipo de ángulo</t>
  </si>
  <si>
    <t>Within</t>
  </si>
  <si>
    <t>9CL1</t>
  </si>
  <si>
    <t>10CL1</t>
  </si>
  <si>
    <t>11CL1</t>
  </si>
  <si>
    <t>Two-sample Proportion Z-Test</t>
  </si>
  <si>
    <t>12CL1</t>
  </si>
  <si>
    <t>SSCP Matrices</t>
  </si>
  <si>
    <t>Group Covariance Matrices</t>
  </si>
  <si>
    <t>Outliers via Mahalanobis D-squared</t>
  </si>
  <si>
    <t>Box's Test</t>
  </si>
  <si>
    <t>Group Means and Contrasts</t>
  </si>
  <si>
    <t>MEAN</t>
  </si>
  <si>
    <t>13CL1</t>
  </si>
  <si>
    <t>Sample size 1</t>
  </si>
  <si>
    <t>14CL1</t>
  </si>
  <si>
    <t>stat</t>
  </si>
  <si>
    <t>df1</t>
  </si>
  <si>
    <t>df2</t>
  </si>
  <si>
    <t>part eta-sq</t>
  </si>
  <si>
    <t>T</t>
  </si>
  <si>
    <t>ANOVA: Single Factor</t>
  </si>
  <si>
    <t>D-sq</t>
  </si>
  <si>
    <t>Covariance Matrix</t>
  </si>
  <si>
    <t>M</t>
  </si>
  <si>
    <t>Count</t>
  </si>
  <si>
    <t>Contrast</t>
  </si>
  <si>
    <t>H-contrast</t>
  </si>
  <si>
    <t>Wilks</t>
  </si>
  <si>
    <t># of Successes 1</t>
  </si>
  <si>
    <t>15CL1</t>
  </si>
  <si>
    <t># sample</t>
  </si>
  <si>
    <t>Sample size 2</t>
  </si>
  <si>
    <t>16CL1</t>
  </si>
  <si>
    <t>DESCRIPTION</t>
  </si>
  <si>
    <t># dep</t>
  </si>
  <si>
    <t># of Successes 2</t>
  </si>
  <si>
    <t>17CL1</t>
  </si>
  <si>
    <t>Sum</t>
  </si>
  <si>
    <t>Variance</t>
  </si>
  <si>
    <t>Std Err</t>
  </si>
  <si>
    <t># indep</t>
  </si>
  <si>
    <t>Tails</t>
  </si>
  <si>
    <t>18CL1</t>
  </si>
  <si>
    <t>Roy's Lg Root</t>
  </si>
  <si>
    <t>H</t>
  </si>
  <si>
    <t>Inverse of Covariance Matrix</t>
  </si>
  <si>
    <t>E</t>
  </si>
  <si>
    <t>19CL1</t>
  </si>
  <si>
    <t>20CL1</t>
  </si>
  <si>
    <t>difference</t>
  </si>
  <si>
    <t>21CL1</t>
  </si>
  <si>
    <t>VARIANCE</t>
  </si>
  <si>
    <t>est hyp</t>
  </si>
  <si>
    <t>22CL1</t>
  </si>
  <si>
    <t>Mean vector</t>
  </si>
  <si>
    <t>c^2/n</t>
  </si>
  <si>
    <t>effect</t>
  </si>
  <si>
    <t>s.e.</t>
  </si>
  <si>
    <t>23CL1</t>
  </si>
  <si>
    <t>z-stat</t>
  </si>
  <si>
    <t>24CL1</t>
  </si>
  <si>
    <t>25CL1</t>
  </si>
  <si>
    <t>Sources</t>
  </si>
  <si>
    <t>Eta-sq</t>
  </si>
  <si>
    <t>RMSSE</t>
  </si>
  <si>
    <t>Omega Sq</t>
  </si>
  <si>
    <t>lower</t>
  </si>
  <si>
    <t>26CL1</t>
  </si>
  <si>
    <t>Between Groups</t>
  </si>
  <si>
    <t>Simultaneous confidence intervals</t>
  </si>
  <si>
    <t>upper</t>
  </si>
  <si>
    <t>27CL1</t>
  </si>
  <si>
    <t>Within Groups</t>
  </si>
  <si>
    <t>Cohen's h</t>
  </si>
  <si>
    <t>2H1</t>
  </si>
  <si>
    <t>F-crit</t>
  </si>
  <si>
    <t>2H2</t>
  </si>
  <si>
    <t>2H3</t>
  </si>
  <si>
    <t>2H4</t>
  </si>
  <si>
    <t>Bonferroni confidence intervals</t>
  </si>
  <si>
    <t>2H5</t>
  </si>
  <si>
    <t>2H6</t>
  </si>
  <si>
    <t>2H7</t>
  </si>
  <si>
    <t>Pooled covariance matrix</t>
  </si>
  <si>
    <t>t-crit</t>
  </si>
  <si>
    <t>2H8</t>
  </si>
  <si>
    <t>2H9</t>
  </si>
  <si>
    <t>2H10</t>
  </si>
  <si>
    <t>2H11</t>
  </si>
  <si>
    <t>Correlation matrix</t>
  </si>
  <si>
    <t>2H12</t>
  </si>
  <si>
    <t>2H13</t>
  </si>
  <si>
    <t>2H14</t>
  </si>
  <si>
    <t>2H15</t>
  </si>
  <si>
    <t>2H16</t>
  </si>
  <si>
    <t>2H17</t>
  </si>
  <si>
    <t>2H18</t>
  </si>
  <si>
    <t>2H19</t>
  </si>
  <si>
    <t>2H20</t>
  </si>
  <si>
    <t>2H21</t>
  </si>
  <si>
    <t>2H22</t>
  </si>
  <si>
    <t>2H23</t>
  </si>
  <si>
    <t>2H24</t>
  </si>
  <si>
    <t>2H25</t>
  </si>
  <si>
    <t>2H26</t>
  </si>
  <si>
    <t>2H27</t>
  </si>
  <si>
    <t>2L1n</t>
  </si>
  <si>
    <t>2L2n</t>
  </si>
  <si>
    <t>2L3n</t>
  </si>
  <si>
    <t>2L4n</t>
  </si>
  <si>
    <t>2L5n</t>
  </si>
  <si>
    <t>2L6n</t>
  </si>
  <si>
    <t>2L7n</t>
  </si>
  <si>
    <t>2L8n</t>
  </si>
  <si>
    <t>2L9n</t>
  </si>
  <si>
    <t>2L10n</t>
  </si>
  <si>
    <t>2L11n</t>
  </si>
  <si>
    <t>2L12n</t>
  </si>
  <si>
    <t>2L13n</t>
  </si>
  <si>
    <t>2L14n</t>
  </si>
  <si>
    <t>2L15n</t>
  </si>
  <si>
    <t>2L17n</t>
  </si>
  <si>
    <t>2L18n</t>
  </si>
  <si>
    <t>2L19n</t>
  </si>
  <si>
    <t>2L20n</t>
  </si>
  <si>
    <t>2L22n</t>
  </si>
  <si>
    <t>2L23n</t>
  </si>
  <si>
    <t>2L24n</t>
  </si>
  <si>
    <t>2L25n</t>
  </si>
  <si>
    <t>2L27n</t>
  </si>
  <si>
    <t>2L28n</t>
  </si>
  <si>
    <t>2H8n</t>
  </si>
  <si>
    <t>3H1n</t>
  </si>
  <si>
    <t>3H2n</t>
  </si>
  <si>
    <t>3H3n</t>
  </si>
  <si>
    <t>3H4n</t>
  </si>
  <si>
    <t>3H5n</t>
  </si>
  <si>
    <t>3H6n</t>
  </si>
  <si>
    <t>3H7n</t>
  </si>
  <si>
    <t>3H8n</t>
  </si>
  <si>
    <t>3H9n</t>
  </si>
  <si>
    <t>3H10n</t>
  </si>
  <si>
    <t>3H11n</t>
  </si>
  <si>
    <t>3H12n</t>
  </si>
  <si>
    <t>3H15n</t>
  </si>
  <si>
    <t>3H16n</t>
  </si>
  <si>
    <t>3H17n</t>
  </si>
  <si>
    <t>3H18n</t>
  </si>
  <si>
    <t>3H19n</t>
  </si>
  <si>
    <t>3H21n</t>
  </si>
  <si>
    <t>3H22n</t>
  </si>
  <si>
    <t>3H23n</t>
  </si>
  <si>
    <t>3H24n</t>
  </si>
  <si>
    <t>3H25n</t>
  </si>
  <si>
    <t>3H26n</t>
  </si>
  <si>
    <t>3H27n</t>
  </si>
  <si>
    <t>3H28n</t>
  </si>
  <si>
    <t>3H29n</t>
  </si>
  <si>
    <t>3H30n</t>
  </si>
  <si>
    <t>3L1n</t>
  </si>
  <si>
    <t>3L2n</t>
  </si>
  <si>
    <t>3L3n</t>
  </si>
  <si>
    <t>3L4n</t>
  </si>
  <si>
    <t>3L5n</t>
  </si>
  <si>
    <t>3L6n</t>
  </si>
  <si>
    <t>3L7n</t>
  </si>
  <si>
    <t>3L8n</t>
  </si>
  <si>
    <t>3L9n</t>
  </si>
  <si>
    <t>3L10n</t>
  </si>
  <si>
    <t>3L11n</t>
  </si>
  <si>
    <t>3L12n</t>
  </si>
  <si>
    <t>3L13n</t>
  </si>
  <si>
    <t>3L14n</t>
  </si>
  <si>
    <t>3L15n</t>
  </si>
  <si>
    <t>3L16n</t>
  </si>
  <si>
    <t>3L17n</t>
  </si>
  <si>
    <t>3L18n</t>
  </si>
  <si>
    <t>3L19n</t>
  </si>
  <si>
    <t>3L20n</t>
  </si>
  <si>
    <t>3L21n</t>
  </si>
  <si>
    <t>3L22n</t>
  </si>
  <si>
    <t>3L23n</t>
  </si>
  <si>
    <t>3L24n</t>
  </si>
  <si>
    <t>3L25n</t>
  </si>
  <si>
    <t>3L26n</t>
  </si>
  <si>
    <t>3L27n</t>
  </si>
  <si>
    <t>Levene's Tests</t>
  </si>
  <si>
    <t>Descriptive Statistics</t>
  </si>
  <si>
    <t>Shapiro-Wilk Test</t>
  </si>
  <si>
    <t>type</t>
  </si>
  <si>
    <t>means</t>
  </si>
  <si>
    <t>W-stat</t>
  </si>
  <si>
    <t>medians</t>
  </si>
  <si>
    <t>trimmed</t>
  </si>
  <si>
    <t>alpha</t>
  </si>
  <si>
    <t>Mode</t>
  </si>
  <si>
    <t>normal</t>
  </si>
  <si>
    <t>Standard Deviation</t>
  </si>
  <si>
    <t>Sample Variance</t>
  </si>
  <si>
    <t>d'Agostino-Pearson</t>
  </si>
  <si>
    <t>Kurtosis</t>
  </si>
  <si>
    <t>Skewness</t>
  </si>
  <si>
    <t>DA-stat</t>
  </si>
  <si>
    <t>Range</t>
  </si>
  <si>
    <t>Geometric Mean</t>
  </si>
  <si>
    <t>TUKEY HSD/KRAMER</t>
  </si>
  <si>
    <t>Harmonic Mean</t>
  </si>
  <si>
    <t>group</t>
  </si>
  <si>
    <t>ss</t>
  </si>
  <si>
    <t>q-crit</t>
  </si>
  <si>
    <t>AAD</t>
  </si>
  <si>
    <t>MAD</t>
  </si>
  <si>
    <t>Q TEST</t>
  </si>
  <si>
    <t>std err</t>
  </si>
  <si>
    <t>q-stat</t>
  </si>
  <si>
    <t>mean-crit</t>
  </si>
  <si>
    <t>Cohen d</t>
  </si>
  <si>
    <t>angizq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</si>
  <si>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rial"/>
        <family val="2"/>
      </rPr>
      <t>Analizar el ACH en maloclusiones de clase II de ángulo alto y ángulo bajo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</si>
  <si>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rial"/>
        <family val="2"/>
      </rPr>
      <t>Identificar el ACH en maloclusiones de clase III de ángulo alto y ángulo bajo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</si>
  <si>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rial"/>
        <family val="2"/>
      </rPr>
      <t xml:space="preserve">Examinar la presencia de alteraciones de la forma condilar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</si>
  <si>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rial"/>
        <family val="2"/>
      </rPr>
      <t>Determinar la clasificación esquelética y el tipo de ángulo</t>
    </r>
  </si>
  <si>
    <t xml:space="preserve">La canulación selectiva de la vía biliar es parte fundamental del procedimiento, la tasa de canulación de la vía biliar se encuentra entre un 80%-95%. La pancreatitis pos CPRE (PPC) es la complicación mas frecuente y se puede presentar hasta en un 14% en pacientes con alto riesgo (IC 95% 11.8%-17.7%) (1). </t>
  </si>
  <si>
    <t xml:space="preserve">La dificultad en la canulación de la vía biliar es un factor definitivo  que aumenta el riesgo de PCP con un OR que varia entre 1.76-14.9 (2). </t>
  </si>
  <si>
    <t>p</t>
  </si>
  <si>
    <t>Tipo de papila</t>
  </si>
  <si>
    <t>Complicacion</t>
  </si>
  <si>
    <t>Dificultad vs tipo de paililra vater: 2x4; gl 3</t>
  </si>
  <si>
    <t>Real Statitistics</t>
  </si>
  <si>
    <t>Efceto del error o tamaño</t>
  </si>
  <si>
    <t>Que significa una diferncia másxima del 34%  de la desviacion estandra entre el valor observado y esperado</t>
  </si>
  <si>
    <t>Con un fectoi de error Et-sq</t>
  </si>
  <si>
    <t>Una potencia</t>
  </si>
  <si>
    <t xml:space="preserve">Una confianza del </t>
  </si>
  <si>
    <t>El tamaño de la muewstyra mínimo por grupo es de25 POR GRUPO</t>
  </si>
  <si>
    <t>Doiseño de muestreo aleatorio simple, para el muestreo se selccionaron los pacientes aleatoriamente y s eles realizo el tratamiemnto en forma aleatoria, respertanfdo los criterios de inclusion requeridso para la investigación.  Se utiliza Reals atatititics V9.1 de Abril 2023. que el mismo R para Excel.</t>
  </si>
  <si>
    <t>Comparar el factor de celulas a nievl pre, 3 meses y año (Unifactorial)</t>
  </si>
  <si>
    <t>Determinar si las celulas cancerigenas estan asocidas a el tto o no Chi sq</t>
  </si>
  <si>
    <t>24,,80</t>
  </si>
  <si>
    <t>ANG DER</t>
  </si>
  <si>
    <t>ANG IZQ</t>
  </si>
  <si>
    <t>MEDIDAS DE LA BASE</t>
  </si>
  <si>
    <t>pcte</t>
  </si>
  <si>
    <t>med</t>
  </si>
  <si>
    <t xml:space="preserve">med </t>
  </si>
  <si>
    <t>2L3</t>
  </si>
  <si>
    <t>2L13</t>
  </si>
  <si>
    <t>3H19</t>
  </si>
  <si>
    <t>3H3</t>
  </si>
  <si>
    <t>3H23</t>
  </si>
  <si>
    <t>3L10</t>
  </si>
  <si>
    <t>3L23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</si>
</sst>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_ "/>
    <numFmt numFmtId="165" formatCode="0.0"/>
    <numFmt numFmtId="166" formatCode="_-* #,##0.000_-;\-* #,##0.000_-;_-* &quot;-&quot;??_-;_-@_-"/>
    <numFmt numFmtId="167" formatCode="0.000"/>
  </numFmts>
  <fonts count="1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double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theme="0" tint="-0.14999847407452621"/>
      </right>
      <top style="thin">
        <color indexed="8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8"/>
      </right>
      <top style="thin">
        <color indexed="8"/>
      </top>
      <bottom style="thin">
        <color theme="0" tint="-0.14999847407452621"/>
      </bottom>
      <diagonal/>
    </border>
    <border>
      <left style="thin">
        <color indexed="8"/>
      </left>
      <right style="thin">
        <color theme="0" tint="-0.14999847407452621"/>
      </right>
      <top style="thin">
        <color theme="0" tint="-0.14999847407452621"/>
      </top>
      <bottom style="thin">
        <color indexed="8"/>
      </bottom>
      <diagonal/>
    </border>
    <border>
      <left style="thin">
        <color theme="0" tint="-0.14999847407452621"/>
      </left>
      <right style="thin">
        <color indexed="8"/>
      </right>
      <top style="thin">
        <color theme="0" tint="-0.14999847407452621"/>
      </top>
      <bottom style="thin">
        <color indexed="8"/>
      </bottom>
      <diagonal/>
    </border>
    <border>
      <left style="thin">
        <color indexed="8"/>
      </left>
      <right style="thin">
        <color theme="0" tint="-0.14999847407452621"/>
      </right>
      <top style="thin">
        <color indexed="8"/>
      </top>
      <bottom style="thin">
        <color indexed="8"/>
      </bottom>
      <diagonal/>
    </border>
    <border>
      <left style="thin">
        <color theme="0" tint="-0.1499984740745262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8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theme="0" tint="-0.14999847407452621"/>
      </bottom>
      <diagonal/>
    </border>
    <border>
      <left style="thin">
        <color indexed="8"/>
      </left>
      <right style="thin">
        <color indexed="8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8"/>
      </left>
      <right style="thin">
        <color indexed="8"/>
      </right>
      <top style="thin">
        <color theme="0" tint="-0.14999847407452621"/>
      </top>
      <bottom style="thin">
        <color indexed="8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8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6">
    <xf numFmtId="0" fontId="0" fillId="0" borderId="0" xfId="0"/>
    <xf numFmtId="0" fontId="1" fillId="0" borderId="0" xfId="0" applyFont="1" applyAlignment="1">
      <alignment horizontal="justify" vertical="center"/>
    </xf>
    <xf numFmtId="0" fontId="0" fillId="2" borderId="0" xfId="0" applyFill="1"/>
    <xf numFmtId="9" fontId="0" fillId="2" borderId="0" xfId="0" applyNumberFormat="1" applyFill="1"/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5" fontId="0" fillId="3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 indent="5"/>
    </xf>
    <xf numFmtId="0" fontId="0" fillId="3" borderId="3" xfId="0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64" fontId="0" fillId="3" borderId="9" xfId="0" applyNumberFormat="1" applyFill="1" applyBorder="1" applyAlignment="1">
      <alignment horizontal="center"/>
    </xf>
    <xf numFmtId="164" fontId="0" fillId="3" borderId="10" xfId="0" applyNumberForma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3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0" fillId="0" borderId="18" xfId="0" applyBorder="1"/>
    <xf numFmtId="0" fontId="9" fillId="0" borderId="1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18" xfId="0" applyBorder="1" applyAlignment="1">
      <alignment horizontal="right"/>
    </xf>
    <xf numFmtId="0" fontId="0" fillId="0" borderId="19" xfId="0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9" fillId="0" borderId="31" xfId="0" applyFont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0" xfId="0" applyAlignment="1">
      <alignment horizontal="left"/>
    </xf>
    <xf numFmtId="0" fontId="0" fillId="0" borderId="4" xfId="0" applyBorder="1"/>
    <xf numFmtId="0" fontId="0" fillId="4" borderId="20" xfId="0" applyFill="1" applyBorder="1"/>
    <xf numFmtId="0" fontId="0" fillId="4" borderId="21" xfId="0" applyFill="1" applyBorder="1"/>
    <xf numFmtId="0" fontId="0" fillId="4" borderId="22" xfId="0" applyFill="1" applyBorder="1"/>
    <xf numFmtId="165" fontId="0" fillId="0" borderId="0" xfId="0" applyNumberFormat="1"/>
    <xf numFmtId="0" fontId="0" fillId="0" borderId="0" xfId="0" pivotButton="1"/>
    <xf numFmtId="0" fontId="5" fillId="5" borderId="34" xfId="0" applyFont="1" applyFill="1" applyBorder="1"/>
    <xf numFmtId="0" fontId="5" fillId="5" borderId="35" xfId="0" applyFont="1" applyFill="1" applyBorder="1" applyAlignment="1">
      <alignment horizontal="left"/>
    </xf>
    <xf numFmtId="0" fontId="5" fillId="5" borderId="35" xfId="0" applyFont="1" applyFill="1" applyBorder="1"/>
    <xf numFmtId="165" fontId="5" fillId="5" borderId="35" xfId="0" applyNumberFormat="1" applyFont="1" applyFill="1" applyBorder="1"/>
    <xf numFmtId="167" fontId="0" fillId="0" borderId="0" xfId="0" applyNumberFormat="1"/>
    <xf numFmtId="167" fontId="10" fillId="0" borderId="0" xfId="0" applyNumberFormat="1" applyFont="1"/>
    <xf numFmtId="0" fontId="11" fillId="5" borderId="36" xfId="0" applyFont="1" applyFill="1" applyBorder="1" applyAlignment="1">
      <alignment horizontal="center"/>
    </xf>
    <xf numFmtId="0" fontId="0" fillId="0" borderId="36" xfId="0" applyBorder="1"/>
    <xf numFmtId="165" fontId="0" fillId="0" borderId="36" xfId="0" applyNumberFormat="1" applyBorder="1"/>
    <xf numFmtId="0" fontId="0" fillId="0" borderId="38" xfId="0" applyBorder="1"/>
    <xf numFmtId="0" fontId="0" fillId="0" borderId="39" xfId="0" applyBorder="1"/>
    <xf numFmtId="0" fontId="0" fillId="0" borderId="37" xfId="0" applyBorder="1"/>
    <xf numFmtId="0" fontId="9" fillId="0" borderId="36" xfId="0" applyFont="1" applyBorder="1" applyAlignment="1">
      <alignment horizontal="center"/>
    </xf>
    <xf numFmtId="2" fontId="0" fillId="0" borderId="36" xfId="0" applyNumberFormat="1" applyBorder="1"/>
    <xf numFmtId="166" fontId="10" fillId="0" borderId="36" xfId="1" applyNumberFormat="1" applyFont="1" applyBorder="1"/>
    <xf numFmtId="166" fontId="0" fillId="0" borderId="36" xfId="1" applyNumberFormat="1" applyFont="1" applyBorder="1"/>
    <xf numFmtId="0" fontId="0" fillId="6" borderId="36" xfId="0" applyFill="1" applyBorder="1"/>
    <xf numFmtId="0" fontId="9" fillId="6" borderId="40" xfId="0" applyFont="1" applyFill="1" applyBorder="1" applyAlignment="1">
      <alignment horizontal="center"/>
    </xf>
    <xf numFmtId="0" fontId="9" fillId="6" borderId="36" xfId="0" applyFont="1" applyFill="1" applyBorder="1" applyAlignment="1">
      <alignment horizontal="center"/>
    </xf>
    <xf numFmtId="2" fontId="0" fillId="0" borderId="40" xfId="0" applyNumberFormat="1" applyBorder="1"/>
    <xf numFmtId="166" fontId="0" fillId="0" borderId="41" xfId="1" applyNumberFormat="1" applyFont="1" applyBorder="1"/>
    <xf numFmtId="166" fontId="10" fillId="0" borderId="41" xfId="1" applyNumberFormat="1" applyFont="1" applyBorder="1"/>
    <xf numFmtId="0" fontId="9" fillId="6" borderId="44" xfId="0" applyFont="1" applyFill="1" applyBorder="1" applyAlignment="1">
      <alignment horizontal="center"/>
    </xf>
    <xf numFmtId="166" fontId="10" fillId="0" borderId="44" xfId="1" applyNumberFormat="1" applyFont="1" applyBorder="1"/>
    <xf numFmtId="166" fontId="0" fillId="0" borderId="46" xfId="1" applyNumberFormat="1" applyFont="1" applyBorder="1"/>
    <xf numFmtId="166" fontId="0" fillId="0" borderId="45" xfId="1" applyNumberFormat="1" applyFont="1" applyBorder="1"/>
    <xf numFmtId="0" fontId="11" fillId="5" borderId="44" xfId="0" applyFont="1" applyFill="1" applyBorder="1" applyAlignment="1">
      <alignment horizontal="center"/>
    </xf>
    <xf numFmtId="165" fontId="0" fillId="0" borderId="44" xfId="0" applyNumberFormat="1" applyBorder="1"/>
    <xf numFmtId="0" fontId="11" fillId="5" borderId="45" xfId="0" applyFont="1" applyFill="1" applyBorder="1" applyAlignment="1">
      <alignment horizontal="center"/>
    </xf>
    <xf numFmtId="165" fontId="0" fillId="0" borderId="45" xfId="0" applyNumberFormat="1" applyBorder="1"/>
    <xf numFmtId="0" fontId="11" fillId="5" borderId="48" xfId="0" applyFont="1" applyFill="1" applyBorder="1" applyAlignment="1">
      <alignment horizontal="center"/>
    </xf>
    <xf numFmtId="165" fontId="0" fillId="0" borderId="48" xfId="0" applyNumberFormat="1" applyBorder="1"/>
    <xf numFmtId="165" fontId="5" fillId="5" borderId="49" xfId="0" applyNumberFormat="1" applyFont="1" applyFill="1" applyBorder="1"/>
    <xf numFmtId="165" fontId="5" fillId="5" borderId="51" xfId="0" applyNumberFormat="1" applyFont="1" applyFill="1" applyBorder="1"/>
    <xf numFmtId="0" fontId="11" fillId="5" borderId="53" xfId="0" applyFont="1" applyFill="1" applyBorder="1" applyAlignment="1">
      <alignment horizontal="center" wrapText="1"/>
    </xf>
    <xf numFmtId="167" fontId="10" fillId="0" borderId="53" xfId="0" applyNumberFormat="1" applyFont="1" applyBorder="1"/>
    <xf numFmtId="167" fontId="0" fillId="0" borderId="53" xfId="0" applyNumberFormat="1" applyBorder="1"/>
    <xf numFmtId="0" fontId="0" fillId="6" borderId="37" xfId="0" applyFill="1" applyBorder="1"/>
    <xf numFmtId="0" fontId="5" fillId="5" borderId="42" xfId="0" applyFont="1" applyFill="1" applyBorder="1"/>
    <xf numFmtId="0" fontId="0" fillId="6" borderId="44" xfId="0" applyFill="1" applyBorder="1" applyAlignment="1">
      <alignment horizontal="left"/>
    </xf>
    <xf numFmtId="0" fontId="5" fillId="5" borderId="44" xfId="0" applyFont="1" applyFill="1" applyBorder="1" applyAlignment="1">
      <alignment horizontal="left"/>
    </xf>
    <xf numFmtId="0" fontId="0" fillId="0" borderId="48" xfId="0" applyBorder="1"/>
    <xf numFmtId="0" fontId="5" fillId="5" borderId="49" xfId="0" applyFont="1" applyFill="1" applyBorder="1"/>
    <xf numFmtId="0" fontId="5" fillId="5" borderId="51" xfId="0" applyFont="1" applyFill="1" applyBorder="1"/>
    <xf numFmtId="165" fontId="5" fillId="5" borderId="55" xfId="0" applyNumberFormat="1" applyFont="1" applyFill="1" applyBorder="1"/>
    <xf numFmtId="165" fontId="5" fillId="5" borderId="56" xfId="0" applyNumberFormat="1" applyFont="1" applyFill="1" applyBorder="1"/>
    <xf numFmtId="0" fontId="5" fillId="5" borderId="54" xfId="0" applyFont="1" applyFill="1" applyBorder="1"/>
    <xf numFmtId="165" fontId="0" fillId="0" borderId="40" xfId="0" applyNumberFormat="1" applyBorder="1"/>
    <xf numFmtId="167" fontId="0" fillId="0" borderId="57" xfId="0" applyNumberFormat="1" applyBorder="1"/>
    <xf numFmtId="165" fontId="0" fillId="0" borderId="37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165" fontId="0" fillId="0" borderId="42" xfId="0" applyNumberFormat="1" applyBorder="1" applyAlignment="1">
      <alignment horizontal="center"/>
    </xf>
    <xf numFmtId="165" fontId="0" fillId="0" borderId="39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43" xfId="0" applyNumberFormat="1" applyBorder="1" applyAlignment="1">
      <alignment horizontal="center"/>
    </xf>
    <xf numFmtId="0" fontId="0" fillId="6" borderId="36" xfId="0" applyFill="1" applyBorder="1" applyAlignment="1">
      <alignment horizontal="center"/>
    </xf>
    <xf numFmtId="0" fontId="0" fillId="0" borderId="5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1" fillId="5" borderId="36" xfId="0" applyFont="1" applyFill="1" applyBorder="1" applyAlignment="1">
      <alignment horizontal="center" wrapText="1"/>
    </xf>
    <xf numFmtId="0" fontId="11" fillId="5" borderId="53" xfId="0" applyFont="1" applyFill="1" applyBorder="1" applyAlignment="1">
      <alignment horizontal="center" wrapText="1"/>
    </xf>
    <xf numFmtId="0" fontId="12" fillId="0" borderId="5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6" borderId="36" xfId="0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 wrapText="1"/>
    </xf>
  </cellXfs>
  <cellStyles count="2">
    <cellStyle name="Millares" xfId="1" builtinId="3"/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  <cx:data id="2">
      <cx:numDim type="val">
        <cx:f>_xlchart.v1.5</cx:f>
      </cx:numDim>
    </cx:data>
    <cx:data id="3">
      <cx:numDim type="val">
        <cx:f>_xlchart.v1.7</cx:f>
      </cx:numDim>
    </cx:data>
    <cx:data id="4">
      <cx:numDim type="val">
        <cx:f>_xlchart.v1.9</cx:f>
      </cx:numDim>
    </cx:data>
  </cx:chartData>
  <cx:chart>
    <cx:title pos="t" align="ctr" overlay="0">
      <cx:tx>
        <cx:txData>
          <cx:v>COMPARACIÓN ÁNGULO DERECHO POR CLASE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COMPARACIÓN ÁNGULO DERECHO POR CLASE</a:t>
          </a:r>
        </a:p>
      </cx:txPr>
    </cx:title>
    <cx:plotArea>
      <cx:plotAreaRegion>
        <cx:series layoutId="boxWhisker" uniqueId="{710F1192-09F6-4860-84C4-FC45BF580973}">
          <cx:tx>
            <cx:txData>
              <cx:f>_xlchart.v1.0</cx:f>
              <cx:v>I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41B37AA9-A9AE-407F-8189-10077730B0EB}">
          <cx:tx>
            <cx:txData>
              <cx:f>_xlchart.v1.2</cx:f>
              <cx:v>II ALTO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6E9221D9-6DB5-4628-8906-A9BB770E2EB3}">
          <cx:tx>
            <cx:txData>
              <cx:f>_xlchart.v1.4</cx:f>
              <cx:v>II BAJO</cx:v>
            </cx:txData>
          </cx:tx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48CD0FA9-AB98-4101-BFBD-7261BDD3C6FA}">
          <cx:tx>
            <cx:txData>
              <cx:f>_xlchart.v1.6</cx:f>
              <cx:v>III ALTO</cx:v>
            </cx:txData>
          </cx:tx>
          <cx:dataId val="3"/>
          <cx:layoutPr>
            <cx:visibility meanLine="0" meanMarker="1" nonoutliers="0" outliers="1"/>
            <cx:statistics quartileMethod="exclusive"/>
          </cx:layoutPr>
        </cx:series>
        <cx:series layoutId="boxWhisker" uniqueId="{518216E8-45B4-408C-A7F9-34F2FF2E741A}">
          <cx:tx>
            <cx:txData>
              <cx:f>_xlchart.v1.8</cx:f>
              <cx:v>III BAJO</cx:v>
            </cx:txData>
          </cx:tx>
          <cx:dataId val="4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tle>
          <cx:tx>
            <cx:txData>
              <cx:v>CLASE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s-E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CLASE</a:t>
              </a:r>
            </a:p>
          </cx:txPr>
        </cx:title>
        <cx:tickLabels/>
      </cx:axis>
      <cx:axis id="1">
        <cx:valScaling/>
        <cx:title>
          <cx:tx>
            <cx:txData>
              <cx:v>MEDIDAS ÁNGULO DERECHO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s-E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MEDIDAS ÁNGULO DERECHO</a:t>
              </a:r>
            </a:p>
          </cx:txPr>
        </cx:title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</cx:plotArea>
    <cx:legend pos="t" align="ctr" overlay="0">
      <cx:txPr>
        <a:bodyPr vertOverflow="overflow" horzOverflow="overflow" wrap="square" lIns="0" tIns="0" rIns="0" bIns="0"/>
        <a:lstStyle/>
        <a:p>
          <a:pPr algn="ctr" rtl="0">
            <a:defRPr sz="1200" b="0" i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/>
        </a:p>
      </cx:txPr>
    </cx:legend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_xlchart.v1.11</cx:f>
      </cx:numDim>
    </cx:data>
    <cx:data id="1">
      <cx:numDim type="val">
        <cx:f>_xlchart.v1.13</cx:f>
      </cx:numDim>
    </cx:data>
    <cx:data id="2">
      <cx:numDim type="val">
        <cx:f>_xlchart.v1.15</cx:f>
      </cx:numDim>
    </cx:data>
    <cx:data id="3">
      <cx:numDim type="val">
        <cx:f>_xlchart.v1.17</cx:f>
      </cx:numDim>
    </cx:data>
    <cx:data id="4">
      <cx:numDim type="val">
        <cx:f>_xlchart.v1.19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400" b="0" i="0" baseline="0">
                <a:effectLst/>
                <a:latin typeface="+mn-lt"/>
              </a:rPr>
              <a:t>COMPARACIÓN ÁNGULO IZQUIERDO POR CLASE</a:t>
            </a:r>
            <a:endParaRPr lang="es-CO" sz="1400">
              <a:effectLst/>
              <a:latin typeface="+mn-lt"/>
            </a:endParaRPr>
          </a:p>
        </cx:rich>
      </cx:tx>
    </cx:title>
    <cx:plotArea>
      <cx:plotAreaRegion>
        <cx:series layoutId="boxWhisker" uniqueId="{85CA4BA2-B02F-43A0-8167-59CF1CFACE6E}">
          <cx:tx>
            <cx:txData>
              <cx:f>_xlchart.v1.10</cx:f>
              <cx:v>I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B077733D-CC5C-4656-A610-4D0D2686E072}">
          <cx:tx>
            <cx:txData>
              <cx:f>_xlchart.v1.12</cx:f>
              <cx:v>II ALTO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FB388FF8-7F71-4C7B-998E-78896F1EDF8B}">
          <cx:tx>
            <cx:txData>
              <cx:f>_xlchart.v1.14</cx:f>
              <cx:v>II BAJO</cx:v>
            </cx:txData>
          </cx:tx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F403EB22-73BA-4DEA-9B52-2CE558318F3E}">
          <cx:tx>
            <cx:txData>
              <cx:f>_xlchart.v1.16</cx:f>
              <cx:v>III ALTO</cx:v>
            </cx:txData>
          </cx:tx>
          <cx:dataId val="3"/>
          <cx:layoutPr>
            <cx:visibility meanLine="0" meanMarker="1" nonoutliers="0" outliers="1"/>
            <cx:statistics quartileMethod="exclusive"/>
          </cx:layoutPr>
        </cx:series>
        <cx:series layoutId="boxWhisker" uniqueId="{633ACBBC-6BDB-48C9-A8CD-FAD8AB4BE7D4}">
          <cx:tx>
            <cx:txData>
              <cx:f>_xlchart.v1.18</cx:f>
              <cx:v>III BAJO</cx:v>
            </cx:txData>
          </cx:tx>
          <cx:dataId val="4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tle>
          <cx:tx>
            <cx:txData>
              <cx:v>CLASE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s-E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CLASE</a:t>
              </a:r>
            </a:p>
          </cx:txPr>
        </cx:title>
        <cx:tickLabels/>
      </cx:axis>
      <cx:axis id="1">
        <cx:valScaling/>
        <cx:title>
          <cx:tx>
            <cx:txData>
              <cx:v>MEDIDAS ÁNGULO IZQUIERDO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s-E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MEDIDAS ÁNGULO IZQUIERDO</a:t>
              </a:r>
            </a:p>
          </cx:txPr>
        </cx:title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</cx:plotArea>
    <cx:legend pos="t" align="ctr" overlay="0">
      <cx:txPr>
        <a:bodyPr vertOverflow="overflow" horzOverflow="overflow" wrap="square" lIns="0" tIns="0" rIns="0" bIns="0"/>
        <a:lstStyle/>
        <a:p>
          <a:pPr algn="ctr" rtl="0">
            <a:defRPr sz="1200" b="0" i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/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24</xdr:row>
      <xdr:rowOff>0</xdr:rowOff>
    </xdr:from>
    <xdr:to>
      <xdr:col>31</xdr:col>
      <xdr:colOff>133350</xdr:colOff>
      <xdr:row>38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D9ACCA26-0717-43A1-995F-54B8A398D5F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0" cy="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Este gráfico no está disponible en su versión de Excel.
Si edita esta forma o guarda el libro en un formato de archivo diferente, el gráfico no se podrá usar.</a:t>
              </a:r>
            </a:p>
          </xdr:txBody>
        </xdr:sp>
      </mc:Fallback>
    </mc:AlternateContent>
    <xdr:clientData/>
  </xdr:twoCellAnchor>
  <xdr:twoCellAnchor>
    <xdr:from>
      <xdr:col>33</xdr:col>
      <xdr:colOff>0</xdr:colOff>
      <xdr:row>24</xdr:row>
      <xdr:rowOff>0</xdr:rowOff>
    </xdr:from>
    <xdr:to>
      <xdr:col>40</xdr:col>
      <xdr:colOff>457200</xdr:colOff>
      <xdr:row>38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18ACD17E-6355-4B1E-BE11-B7FA4B18213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0" cy="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Este gráfico no está disponible en su versión de Excel.
Si edita esta forma o guarda el libro en un formato de archivo diferente, el gráfico no se podrá usar.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19050</xdr:rowOff>
    </xdr:from>
    <xdr:to>
      <xdr:col>5</xdr:col>
      <xdr:colOff>428625</xdr:colOff>
      <xdr:row>37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530" t="18422" r="21865" b="37116"/>
        <a:stretch/>
      </xdr:blipFill>
      <xdr:spPr>
        <a:xfrm>
          <a:off x="0" y="3257550"/>
          <a:ext cx="9486900" cy="4686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85725</xdr:colOff>
      <xdr:row>20</xdr:row>
      <xdr:rowOff>114301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562" t="30603" r="35643" b="15744"/>
        <a:stretch/>
      </xdr:blipFill>
      <xdr:spPr>
        <a:xfrm>
          <a:off x="0" y="0"/>
          <a:ext cx="8039100" cy="3924301"/>
        </a:xfrm>
        <a:prstGeom prst="rect">
          <a:avLst/>
        </a:prstGeom>
      </xdr:spPr>
    </xdr:pic>
    <xdr:clientData/>
  </xdr:twoCellAnchor>
  <xdr:twoCellAnchor editAs="oneCell">
    <xdr:from>
      <xdr:col>10</xdr:col>
      <xdr:colOff>276225</xdr:colOff>
      <xdr:row>0</xdr:row>
      <xdr:rowOff>0</xdr:rowOff>
    </xdr:from>
    <xdr:to>
      <xdr:col>14</xdr:col>
      <xdr:colOff>276225</xdr:colOff>
      <xdr:row>21</xdr:row>
      <xdr:rowOff>104775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ADD3A62-16C7-4FE2-A5A4-DCA5A9B991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8511" t="18492" r="38060" b="25381"/>
        <a:stretch/>
      </xdr:blipFill>
      <xdr:spPr>
        <a:xfrm>
          <a:off x="8229600" y="0"/>
          <a:ext cx="3048000" cy="4105275"/>
        </a:xfrm>
        <a:prstGeom prst="rect">
          <a:avLst/>
        </a:prstGeom>
      </xdr:spPr>
    </xdr:pic>
    <xdr:clientData/>
  </xdr:twoCellAnchor>
  <xdr:twoCellAnchor editAs="oneCell">
    <xdr:from>
      <xdr:col>20</xdr:col>
      <xdr:colOff>733426</xdr:colOff>
      <xdr:row>0</xdr:row>
      <xdr:rowOff>104774</xdr:rowOff>
    </xdr:from>
    <xdr:to>
      <xdr:col>33</xdr:col>
      <xdr:colOff>85726</xdr:colOff>
      <xdr:row>15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AA7FCAB-4631-45D6-87E2-7AAC23E05C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3179" t="25653" r="15655" b="35019"/>
        <a:stretch/>
      </xdr:blipFill>
      <xdr:spPr>
        <a:xfrm>
          <a:off x="16306801" y="104774"/>
          <a:ext cx="9258300" cy="28765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namericana/AppData/Roaming/Microsoft/Complementos/XRealStat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XRealStats"/>
    </sheetNames>
    <definedNames>
      <definedName name="BOXdf1"/>
      <definedName name="BOXdf2"/>
      <definedName name="BOXF"/>
      <definedName name="BOXM"/>
      <definedName name="BOXTEST"/>
      <definedName name="CORR"/>
      <definedName name="COUNTAU"/>
      <definedName name="COV"/>
      <definedName name="COVP"/>
      <definedName name="COVPooled"/>
      <definedName name="DAGOSTINO"/>
      <definedName name="DIAG"/>
      <definedName name="DPTEST"/>
      <definedName name="ExtractCov"/>
      <definedName name="F_DIST_RT"/>
      <definedName name="IQR"/>
      <definedName name="LEVENE"/>
      <definedName name="MAD"/>
      <definedName name="MANOVA_Hoteldf1"/>
      <definedName name="MANOVA_Hoteldf2"/>
      <definedName name="MANOVA_HotelF"/>
      <definedName name="MANOVA_HotelTrace"/>
      <definedName name="MANOVA_Pillaidf1"/>
      <definedName name="MANOVA_Pillaidf2"/>
      <definedName name="MANOVA_PillaiF"/>
      <definedName name="MANOVA_PillaiTrace"/>
      <definedName name="MANOVA_RoyRoot"/>
      <definedName name="MANOVA_Wilksdf1"/>
      <definedName name="MANOVA_Wilksdf2"/>
      <definedName name="MANOVA_WilksF"/>
      <definedName name="MANOVA_WilksLambda"/>
      <definedName name="QCRIT"/>
      <definedName name="QDIST"/>
      <definedName name="SHAPIRO"/>
      <definedName name="SortUnique"/>
      <definedName name="StdAnova1"/>
      <definedName name="StdAnova2"/>
      <definedName name="SWTES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namericana" refreshedDate="45084.903827546295" createdVersion="7" refreshedVersion="7" minRefreshableVersion="3" recordCount="135" xr:uid="{87F935F9-B1A7-4A88-9283-A23475F7A4FE}">
  <cacheSource type="worksheet">
    <worksheetSource ref="BJ1:BO136" sheet="objetivos"/>
  </cacheSource>
  <cacheFields count="5">
    <cacheField name="sexo" numFmtId="0">
      <sharedItems containsSemiMixedTypes="0" containsString="0" containsNumber="1" containsInteger="1" minValue="1" maxValue="2" count="2">
        <n v="1"/>
        <n v="2"/>
      </sharedItems>
    </cacheField>
    <cacheField name="edad" numFmtId="0">
      <sharedItems containsSemiMixedTypes="0" containsString="0" containsNumber="1" containsInteger="1" minValue="18" maxValue="70" count="53">
        <n v="36"/>
        <n v="60"/>
        <n v="47"/>
        <n v="46"/>
        <n v="53"/>
        <n v="67"/>
        <n v="32"/>
        <n v="62"/>
        <n v="25"/>
        <n v="66"/>
        <n v="40"/>
        <n v="38"/>
        <n v="19"/>
        <n v="48"/>
        <n v="59"/>
        <n v="26"/>
        <n v="50"/>
        <n v="44"/>
        <n v="29"/>
        <n v="34"/>
        <n v="51"/>
        <n v="54"/>
        <n v="64"/>
        <n v="22"/>
        <n v="42"/>
        <n v="68"/>
        <n v="27"/>
        <n v="58"/>
        <n v="49"/>
        <n v="39"/>
        <n v="61"/>
        <n v="65"/>
        <n v="63"/>
        <n v="41"/>
        <n v="52"/>
        <n v="28"/>
        <n v="24"/>
        <n v="21"/>
        <n v="45"/>
        <n v="70"/>
        <n v="35"/>
        <n v="20"/>
        <n v="18"/>
        <n v="23"/>
        <n v="69"/>
        <n v="56"/>
        <n v="37"/>
        <n v="43"/>
        <n v="55"/>
        <n v="33"/>
        <n v="57"/>
        <n v="30"/>
        <n v="31"/>
      </sharedItems>
    </cacheField>
    <cacheField name="clase esque" numFmtId="0">
      <sharedItems count="5">
        <s v="I"/>
        <s v="II ALTO"/>
        <s v="II BAJO"/>
        <s v="III ALTO"/>
        <s v="III BAJO"/>
      </sharedItems>
    </cacheField>
    <cacheField name="ang der" numFmtId="0">
      <sharedItems containsSemiMixedTypes="0" containsString="0" containsNumber="1" minValue="2.29" maxValue="53.56" count="126">
        <n v="17.600000000000001"/>
        <n v="19"/>
        <n v="19.3"/>
        <n v="13.9"/>
        <n v="21.5"/>
        <n v="14.5"/>
        <n v="15.4"/>
        <n v="17.8"/>
        <n v="22"/>
        <n v="16.100000000000001"/>
        <n v="18.5"/>
        <n v="14.6"/>
        <n v="20.8"/>
        <n v="23"/>
        <n v="16.600000000000001"/>
        <n v="21"/>
        <n v="15.9"/>
        <n v="9.5"/>
        <n v="24.1"/>
        <n v="14.7"/>
        <n v="16.899999999999999"/>
        <n v="14.9"/>
        <n v="15"/>
        <n v="24.3"/>
        <n v="39.03"/>
        <n v="33.4"/>
        <n v="38.19"/>
        <n v="27.5"/>
        <n v="24.88"/>
        <n v="32.909999999999997"/>
        <n v="16.96"/>
        <n v="27.09"/>
        <n v="53.56"/>
        <n v="42.08"/>
        <n v="31.79"/>
        <n v="35.869999999999997"/>
        <n v="20.89"/>
        <n v="21.8"/>
        <n v="34.58"/>
        <n v="28.17"/>
        <n v="22.02"/>
        <n v="10.89"/>
        <n v="30.78"/>
        <n v="32.479999999999997"/>
        <n v="49.96"/>
        <n v="38.65"/>
        <n v="26.56"/>
        <n v="20.55"/>
        <n v="23.05"/>
        <n v="31.49"/>
        <n v="27.17"/>
        <n v="27.29"/>
        <n v="22.16"/>
        <n v="19.149999999999999"/>
        <n v="27.94"/>
        <n v="26.18"/>
        <n v="6.01"/>
        <n v="23.57"/>
        <n v="24.22"/>
        <n v="22.74"/>
        <n v="26.96"/>
        <n v="36.29"/>
        <n v="28.43"/>
        <n v="3.23"/>
        <n v="17.350000000000001"/>
        <n v="3.5"/>
        <n v="21.79"/>
        <n v="27.89"/>
        <n v="2.29"/>
        <n v="29.05"/>
        <n v="31.71"/>
        <n v="20.43"/>
        <n v="21.31"/>
        <n v="23.85"/>
        <n v="27.59"/>
        <n v="16.07"/>
        <n v="39.340000000000003"/>
        <n v="16.04"/>
        <n v="26.16"/>
        <n v="7.9"/>
        <n v="22.37"/>
        <n v="34.28"/>
        <n v="30.33"/>
        <n v="17.41"/>
        <n v="3.76"/>
        <n v="19.98"/>
        <n v="2.56"/>
        <n v="4.01"/>
        <n v="12.84"/>
        <n v="6.84"/>
        <n v="33.409999999999997"/>
        <n v="13.62"/>
        <n v="18.690000000000001"/>
        <n v="2.5299999999999998"/>
        <n v="9.06"/>
        <n v="11.72"/>
        <n v="23.52"/>
        <n v="12.92"/>
        <n v="26.97"/>
        <n v="20.85"/>
        <n v="18.43"/>
        <n v="16.559999999999999"/>
        <n v="6.29"/>
        <n v="4.88"/>
        <n v="20.2"/>
        <n v="23.46"/>
        <n v="5.25"/>
        <n v="9.7100000000000009"/>
        <n v="24.8"/>
        <n v="19.87"/>
        <n v="18.86"/>
        <n v="23.98"/>
        <n v="24.65"/>
        <n v="18.95"/>
        <n v="27.18"/>
        <n v="29.21"/>
        <n v="22.08"/>
        <n v="34.479999999999997"/>
        <n v="32.549999999999997"/>
        <n v="31.86"/>
        <n v="19.920000000000002"/>
        <n v="13.29"/>
        <n v="24.17"/>
        <n v="25.59"/>
        <n v="23.83"/>
        <n v="17.920000000000002"/>
      </sharedItems>
    </cacheField>
    <cacheField name="ang izq" numFmtId="0">
      <sharedItems containsSemiMixedTypes="0" containsString="0" containsNumber="1" minValue="0.6" maxValue="47.4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5">
  <r>
    <x v="0"/>
    <x v="0"/>
    <x v="0"/>
    <x v="0"/>
    <n v="17.8"/>
  </r>
  <r>
    <x v="1"/>
    <x v="1"/>
    <x v="0"/>
    <x v="1"/>
    <n v="18"/>
  </r>
  <r>
    <x v="1"/>
    <x v="2"/>
    <x v="0"/>
    <x v="2"/>
    <n v="19"/>
  </r>
  <r>
    <x v="1"/>
    <x v="3"/>
    <x v="0"/>
    <x v="3"/>
    <n v="14"/>
  </r>
  <r>
    <x v="1"/>
    <x v="4"/>
    <x v="0"/>
    <x v="4"/>
    <n v="20.9"/>
  </r>
  <r>
    <x v="0"/>
    <x v="5"/>
    <x v="0"/>
    <x v="5"/>
    <n v="14.1"/>
  </r>
  <r>
    <x v="1"/>
    <x v="6"/>
    <x v="0"/>
    <x v="6"/>
    <n v="14.6"/>
  </r>
  <r>
    <x v="0"/>
    <x v="7"/>
    <x v="0"/>
    <x v="7"/>
    <n v="17.600000000000001"/>
  </r>
  <r>
    <x v="0"/>
    <x v="8"/>
    <x v="0"/>
    <x v="8"/>
    <n v="22.3"/>
  </r>
  <r>
    <x v="1"/>
    <x v="9"/>
    <x v="0"/>
    <x v="9"/>
    <n v="15.4"/>
  </r>
  <r>
    <x v="1"/>
    <x v="10"/>
    <x v="0"/>
    <x v="10"/>
    <n v="18.2"/>
  </r>
  <r>
    <x v="1"/>
    <x v="11"/>
    <x v="0"/>
    <x v="11"/>
    <n v="15.2"/>
  </r>
  <r>
    <x v="0"/>
    <x v="12"/>
    <x v="0"/>
    <x v="12"/>
    <n v="20.6"/>
  </r>
  <r>
    <x v="1"/>
    <x v="13"/>
    <x v="0"/>
    <x v="13"/>
    <n v="24.5"/>
  </r>
  <r>
    <x v="0"/>
    <x v="14"/>
    <x v="0"/>
    <x v="2"/>
    <n v="20.399999999999999"/>
  </r>
  <r>
    <x v="0"/>
    <x v="15"/>
    <x v="0"/>
    <x v="14"/>
    <n v="16.7"/>
  </r>
  <r>
    <x v="1"/>
    <x v="16"/>
    <x v="0"/>
    <x v="4"/>
    <n v="21.5"/>
  </r>
  <r>
    <x v="0"/>
    <x v="6"/>
    <x v="0"/>
    <x v="15"/>
    <n v="22.4"/>
  </r>
  <r>
    <x v="1"/>
    <x v="13"/>
    <x v="0"/>
    <x v="16"/>
    <n v="16.100000000000001"/>
  </r>
  <r>
    <x v="1"/>
    <x v="17"/>
    <x v="0"/>
    <x v="17"/>
    <n v="0.6"/>
  </r>
  <r>
    <x v="1"/>
    <x v="7"/>
    <x v="0"/>
    <x v="18"/>
    <n v="23.1"/>
  </r>
  <r>
    <x v="0"/>
    <x v="18"/>
    <x v="0"/>
    <x v="19"/>
    <n v="14.4"/>
  </r>
  <r>
    <x v="0"/>
    <x v="19"/>
    <x v="0"/>
    <x v="20"/>
    <n v="16.3"/>
  </r>
  <r>
    <x v="0"/>
    <x v="20"/>
    <x v="0"/>
    <x v="21"/>
    <n v="15.2"/>
  </r>
  <r>
    <x v="1"/>
    <x v="21"/>
    <x v="0"/>
    <x v="1"/>
    <n v="18.3"/>
  </r>
  <r>
    <x v="1"/>
    <x v="22"/>
    <x v="0"/>
    <x v="22"/>
    <n v="15.5"/>
  </r>
  <r>
    <x v="0"/>
    <x v="5"/>
    <x v="0"/>
    <x v="17"/>
    <n v="10.5"/>
  </r>
  <r>
    <x v="1"/>
    <x v="23"/>
    <x v="1"/>
    <x v="23"/>
    <n v="26.56"/>
  </r>
  <r>
    <x v="1"/>
    <x v="20"/>
    <x v="1"/>
    <x v="24"/>
    <n v="33.4"/>
  </r>
  <r>
    <x v="1"/>
    <x v="24"/>
    <x v="1"/>
    <x v="25"/>
    <n v="43.01"/>
  </r>
  <r>
    <x v="1"/>
    <x v="25"/>
    <x v="1"/>
    <x v="26"/>
    <n v="38.340000000000003"/>
  </r>
  <r>
    <x v="1"/>
    <x v="21"/>
    <x v="1"/>
    <x v="27"/>
    <n v="35.549999999999997"/>
  </r>
  <r>
    <x v="1"/>
    <x v="26"/>
    <x v="1"/>
    <x v="28"/>
    <n v="26.82"/>
  </r>
  <r>
    <x v="1"/>
    <x v="0"/>
    <x v="1"/>
    <x v="29"/>
    <n v="18.079999999999998"/>
  </r>
  <r>
    <x v="1"/>
    <x v="27"/>
    <x v="1"/>
    <x v="30"/>
    <n v="37.770000000000003"/>
  </r>
  <r>
    <x v="1"/>
    <x v="15"/>
    <x v="1"/>
    <x v="31"/>
    <n v="47.48"/>
  </r>
  <r>
    <x v="1"/>
    <x v="28"/>
    <x v="1"/>
    <x v="32"/>
    <n v="39.42"/>
  </r>
  <r>
    <x v="1"/>
    <x v="12"/>
    <x v="1"/>
    <x v="33"/>
    <n v="37.340000000000003"/>
  </r>
  <r>
    <x v="1"/>
    <x v="14"/>
    <x v="1"/>
    <x v="34"/>
    <n v="20.89"/>
  </r>
  <r>
    <x v="1"/>
    <x v="6"/>
    <x v="1"/>
    <x v="35"/>
    <n v="33.75"/>
  </r>
  <r>
    <x v="1"/>
    <x v="29"/>
    <x v="1"/>
    <x v="36"/>
    <n v="21.79"/>
  </r>
  <r>
    <x v="1"/>
    <x v="30"/>
    <x v="1"/>
    <x v="37"/>
    <n v="23.85"/>
  </r>
  <r>
    <x v="1"/>
    <x v="21"/>
    <x v="1"/>
    <x v="38"/>
    <n v="21.24"/>
  </r>
  <r>
    <x v="0"/>
    <x v="31"/>
    <x v="1"/>
    <x v="39"/>
    <n v="32.19"/>
  </r>
  <r>
    <x v="0"/>
    <x v="32"/>
    <x v="1"/>
    <x v="40"/>
    <n v="22.66"/>
  </r>
  <r>
    <x v="1"/>
    <x v="33"/>
    <x v="1"/>
    <x v="41"/>
    <n v="21.84"/>
  </r>
  <r>
    <x v="0"/>
    <x v="34"/>
    <x v="1"/>
    <x v="42"/>
    <n v="28.89"/>
  </r>
  <r>
    <x v="0"/>
    <x v="35"/>
    <x v="1"/>
    <x v="43"/>
    <n v="33.89"/>
  </r>
  <r>
    <x v="0"/>
    <x v="31"/>
    <x v="1"/>
    <x v="44"/>
    <n v="36.15"/>
  </r>
  <r>
    <x v="0"/>
    <x v="36"/>
    <x v="1"/>
    <x v="45"/>
    <n v="39.549999999999997"/>
  </r>
  <r>
    <x v="0"/>
    <x v="37"/>
    <x v="1"/>
    <x v="46"/>
    <n v="25.81"/>
  </r>
  <r>
    <x v="0"/>
    <x v="7"/>
    <x v="1"/>
    <x v="47"/>
    <n v="27.64"/>
  </r>
  <r>
    <x v="0"/>
    <x v="28"/>
    <x v="1"/>
    <x v="48"/>
    <n v="29.49"/>
  </r>
  <r>
    <x v="0"/>
    <x v="28"/>
    <x v="1"/>
    <x v="49"/>
    <n v="24.58"/>
  </r>
  <r>
    <x v="1"/>
    <x v="29"/>
    <x v="2"/>
    <x v="50"/>
    <n v="26.5"/>
  </r>
  <r>
    <x v="0"/>
    <x v="7"/>
    <x v="2"/>
    <x v="51"/>
    <n v="27.2"/>
  </r>
  <r>
    <x v="0"/>
    <x v="30"/>
    <x v="2"/>
    <x v="52"/>
    <n v="24.89"/>
  </r>
  <r>
    <x v="1"/>
    <x v="1"/>
    <x v="2"/>
    <x v="53"/>
    <n v="17.87"/>
  </r>
  <r>
    <x v="1"/>
    <x v="38"/>
    <x v="2"/>
    <x v="54"/>
    <n v="9.82"/>
  </r>
  <r>
    <x v="0"/>
    <x v="28"/>
    <x v="2"/>
    <x v="55"/>
    <n v="34.450000000000003"/>
  </r>
  <r>
    <x v="0"/>
    <x v="1"/>
    <x v="2"/>
    <x v="56"/>
    <n v="4.2699999999999996"/>
  </r>
  <r>
    <x v="0"/>
    <x v="39"/>
    <x v="2"/>
    <x v="57"/>
    <n v="16.78"/>
  </r>
  <r>
    <x v="0"/>
    <x v="35"/>
    <x v="2"/>
    <x v="58"/>
    <n v="25.34"/>
  </r>
  <r>
    <x v="0"/>
    <x v="40"/>
    <x v="2"/>
    <x v="59"/>
    <n v="26.96"/>
  </r>
  <r>
    <x v="0"/>
    <x v="3"/>
    <x v="2"/>
    <x v="60"/>
    <n v="22.74"/>
  </r>
  <r>
    <x v="0"/>
    <x v="33"/>
    <x v="2"/>
    <x v="61"/>
    <n v="28.43"/>
  </r>
  <r>
    <x v="1"/>
    <x v="12"/>
    <x v="2"/>
    <x v="62"/>
    <n v="36.29"/>
  </r>
  <r>
    <x v="0"/>
    <x v="6"/>
    <x v="2"/>
    <x v="14"/>
    <n v="22.83"/>
  </r>
  <r>
    <x v="1"/>
    <x v="41"/>
    <x v="2"/>
    <x v="63"/>
    <n v="20.350000000000001"/>
  </r>
  <r>
    <x v="0"/>
    <x v="24"/>
    <x v="2"/>
    <x v="64"/>
    <n v="15.67"/>
  </r>
  <r>
    <x v="1"/>
    <x v="42"/>
    <x v="2"/>
    <x v="65"/>
    <n v="7.96"/>
  </r>
  <r>
    <x v="0"/>
    <x v="43"/>
    <x v="2"/>
    <x v="66"/>
    <n v="22.96"/>
  </r>
  <r>
    <x v="1"/>
    <x v="16"/>
    <x v="2"/>
    <x v="67"/>
    <n v="27.89"/>
  </r>
  <r>
    <x v="1"/>
    <x v="30"/>
    <x v="2"/>
    <x v="68"/>
    <n v="16.25"/>
  </r>
  <r>
    <x v="1"/>
    <x v="44"/>
    <x v="2"/>
    <x v="69"/>
    <n v="26.19"/>
  </r>
  <r>
    <x v="0"/>
    <x v="45"/>
    <x v="2"/>
    <x v="70"/>
    <n v="40.17"/>
  </r>
  <r>
    <x v="0"/>
    <x v="2"/>
    <x v="2"/>
    <x v="71"/>
    <n v="26.55"/>
  </r>
  <r>
    <x v="0"/>
    <x v="15"/>
    <x v="2"/>
    <x v="72"/>
    <n v="23.54"/>
  </r>
  <r>
    <x v="1"/>
    <x v="9"/>
    <x v="2"/>
    <x v="47"/>
    <n v="23.19"/>
  </r>
  <r>
    <x v="0"/>
    <x v="19"/>
    <x v="2"/>
    <x v="73"/>
    <n v="28.43"/>
  </r>
  <r>
    <x v="0"/>
    <x v="33"/>
    <x v="2"/>
    <x v="74"/>
    <n v="30.61"/>
  </r>
  <r>
    <x v="0"/>
    <x v="32"/>
    <x v="3"/>
    <x v="75"/>
    <n v="16.5"/>
  </r>
  <r>
    <x v="0"/>
    <x v="15"/>
    <x v="3"/>
    <x v="76"/>
    <n v="31.42"/>
  </r>
  <r>
    <x v="1"/>
    <x v="30"/>
    <x v="3"/>
    <x v="14"/>
    <n v="13.53"/>
  </r>
  <r>
    <x v="0"/>
    <x v="40"/>
    <x v="3"/>
    <x v="77"/>
    <n v="16.62"/>
  </r>
  <r>
    <x v="0"/>
    <x v="8"/>
    <x v="3"/>
    <x v="78"/>
    <n v="24.05"/>
  </r>
  <r>
    <x v="1"/>
    <x v="7"/>
    <x v="3"/>
    <x v="79"/>
    <n v="23.02"/>
  </r>
  <r>
    <x v="0"/>
    <x v="40"/>
    <x v="3"/>
    <x v="80"/>
    <n v="19.329999999999998"/>
  </r>
  <r>
    <x v="1"/>
    <x v="1"/>
    <x v="3"/>
    <x v="81"/>
    <n v="33.1"/>
  </r>
  <r>
    <x v="1"/>
    <x v="1"/>
    <x v="3"/>
    <x v="82"/>
    <n v="28.92"/>
  </r>
  <r>
    <x v="1"/>
    <x v="17"/>
    <x v="3"/>
    <x v="83"/>
    <n v="23.55"/>
  </r>
  <r>
    <x v="0"/>
    <x v="12"/>
    <x v="3"/>
    <x v="84"/>
    <n v="10.3"/>
  </r>
  <r>
    <x v="1"/>
    <x v="30"/>
    <x v="3"/>
    <x v="85"/>
    <n v="25.07"/>
  </r>
  <r>
    <x v="1"/>
    <x v="36"/>
    <x v="3"/>
    <x v="86"/>
    <n v="8.67"/>
  </r>
  <r>
    <x v="1"/>
    <x v="26"/>
    <x v="3"/>
    <x v="87"/>
    <n v="19.98"/>
  </r>
  <r>
    <x v="0"/>
    <x v="8"/>
    <x v="3"/>
    <x v="88"/>
    <n v="15.68"/>
  </r>
  <r>
    <x v="1"/>
    <x v="8"/>
    <x v="3"/>
    <x v="89"/>
    <n v="4.4800000000000004"/>
  </r>
  <r>
    <x v="0"/>
    <x v="46"/>
    <x v="3"/>
    <x v="90"/>
    <n v="33.17"/>
  </r>
  <r>
    <x v="1"/>
    <x v="32"/>
    <x v="3"/>
    <x v="91"/>
    <n v="27.64"/>
  </r>
  <r>
    <x v="0"/>
    <x v="47"/>
    <x v="3"/>
    <x v="92"/>
    <n v="15.7"/>
  </r>
  <r>
    <x v="0"/>
    <x v="48"/>
    <x v="3"/>
    <x v="93"/>
    <n v="11.46"/>
  </r>
  <r>
    <x v="1"/>
    <x v="26"/>
    <x v="3"/>
    <x v="94"/>
    <n v="16.61"/>
  </r>
  <r>
    <x v="1"/>
    <x v="0"/>
    <x v="3"/>
    <x v="95"/>
    <n v="22.13"/>
  </r>
  <r>
    <x v="0"/>
    <x v="41"/>
    <x v="3"/>
    <x v="96"/>
    <n v="23.95"/>
  </r>
  <r>
    <x v="0"/>
    <x v="13"/>
    <x v="3"/>
    <x v="97"/>
    <n v="19.28"/>
  </r>
  <r>
    <x v="0"/>
    <x v="2"/>
    <x v="3"/>
    <x v="98"/>
    <n v="27.47"/>
  </r>
  <r>
    <x v="0"/>
    <x v="44"/>
    <x v="3"/>
    <x v="99"/>
    <n v="11.31"/>
  </r>
  <r>
    <x v="1"/>
    <x v="35"/>
    <x v="3"/>
    <x v="100"/>
    <n v="8.26"/>
  </r>
  <r>
    <x v="0"/>
    <x v="14"/>
    <x v="4"/>
    <x v="101"/>
    <n v="16.600000000000001"/>
  </r>
  <r>
    <x v="0"/>
    <x v="37"/>
    <x v="4"/>
    <x v="102"/>
    <n v="2.95"/>
  </r>
  <r>
    <x v="0"/>
    <x v="2"/>
    <x v="4"/>
    <x v="103"/>
    <n v="7.49"/>
  </r>
  <r>
    <x v="0"/>
    <x v="49"/>
    <x v="4"/>
    <x v="104"/>
    <n v="22.83"/>
  </r>
  <r>
    <x v="1"/>
    <x v="37"/>
    <x v="4"/>
    <x v="105"/>
    <n v="26.15"/>
  </r>
  <r>
    <x v="0"/>
    <x v="6"/>
    <x v="4"/>
    <x v="102"/>
    <n v="2.95"/>
  </r>
  <r>
    <x v="0"/>
    <x v="2"/>
    <x v="4"/>
    <x v="106"/>
    <n v="6.54"/>
  </r>
  <r>
    <x v="0"/>
    <x v="8"/>
    <x v="4"/>
    <x v="107"/>
    <n v="17.62"/>
  </r>
  <r>
    <x v="1"/>
    <x v="48"/>
    <x v="4"/>
    <x v="108"/>
    <n v="16.920000000000002"/>
  </r>
  <r>
    <x v="0"/>
    <x v="13"/>
    <x v="4"/>
    <x v="109"/>
    <n v="15.04"/>
  </r>
  <r>
    <x v="0"/>
    <x v="24"/>
    <x v="4"/>
    <x v="110"/>
    <n v="17.68"/>
  </r>
  <r>
    <x v="1"/>
    <x v="7"/>
    <x v="4"/>
    <x v="111"/>
    <n v="22.61"/>
  </r>
  <r>
    <x v="0"/>
    <x v="37"/>
    <x v="4"/>
    <x v="112"/>
    <n v="25.49"/>
  </r>
  <r>
    <x v="0"/>
    <x v="18"/>
    <x v="4"/>
    <x v="113"/>
    <n v="13.39"/>
  </r>
  <r>
    <x v="0"/>
    <x v="32"/>
    <x v="4"/>
    <x v="114"/>
    <n v="33.1"/>
  </r>
  <r>
    <x v="0"/>
    <x v="50"/>
    <x v="4"/>
    <x v="115"/>
    <n v="21.67"/>
  </r>
  <r>
    <x v="1"/>
    <x v="39"/>
    <x v="4"/>
    <x v="116"/>
    <n v="29.94"/>
  </r>
  <r>
    <x v="1"/>
    <x v="39"/>
    <x v="4"/>
    <x v="117"/>
    <n v="27.89"/>
  </r>
  <r>
    <x v="1"/>
    <x v="33"/>
    <x v="4"/>
    <x v="118"/>
    <n v="31.99"/>
  </r>
  <r>
    <x v="0"/>
    <x v="31"/>
    <x v="4"/>
    <x v="119"/>
    <n v="32.96"/>
  </r>
  <r>
    <x v="1"/>
    <x v="51"/>
    <x v="4"/>
    <x v="120"/>
    <n v="8.9"/>
  </r>
  <r>
    <x v="0"/>
    <x v="7"/>
    <x v="4"/>
    <x v="121"/>
    <n v="12.52"/>
  </r>
  <r>
    <x v="1"/>
    <x v="33"/>
    <x v="4"/>
    <x v="122"/>
    <n v="32.85"/>
  </r>
  <r>
    <x v="1"/>
    <x v="52"/>
    <x v="4"/>
    <x v="123"/>
    <n v="28.43"/>
  </r>
  <r>
    <x v="1"/>
    <x v="28"/>
    <x v="4"/>
    <x v="124"/>
    <n v="30.12"/>
  </r>
  <r>
    <x v="0"/>
    <x v="27"/>
    <x v="4"/>
    <x v="38"/>
    <n v="26.43"/>
  </r>
  <r>
    <x v="0"/>
    <x v="46"/>
    <x v="4"/>
    <x v="125"/>
    <n v="26.4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7A9D81-EF3B-496E-B7D3-EFC09A7E8C0E}" name="TablaDinámica4" cacheId="1079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CI4:CL11" firstHeaderRow="1" firstDataRow="2" firstDataCol="1" rowPageCount="2" colPageCount="1"/>
  <pivotFields count="5">
    <pivotField axis="axisCol" showAll="0">
      <items count="3">
        <item x="0"/>
        <item x="1"/>
        <item t="default"/>
      </items>
    </pivotField>
    <pivotField axis="axisPage" showAll="0">
      <items count="54">
        <item x="42"/>
        <item x="12"/>
        <item x="41"/>
        <item x="37"/>
        <item x="23"/>
        <item x="43"/>
        <item x="36"/>
        <item x="8"/>
        <item x="15"/>
        <item x="26"/>
        <item x="35"/>
        <item x="18"/>
        <item x="51"/>
        <item x="52"/>
        <item x="6"/>
        <item x="49"/>
        <item x="19"/>
        <item x="40"/>
        <item x="0"/>
        <item x="46"/>
        <item x="11"/>
        <item x="29"/>
        <item x="10"/>
        <item x="33"/>
        <item x="24"/>
        <item x="47"/>
        <item x="17"/>
        <item x="38"/>
        <item x="3"/>
        <item x="2"/>
        <item x="13"/>
        <item x="28"/>
        <item x="16"/>
        <item x="20"/>
        <item x="34"/>
        <item x="4"/>
        <item x="21"/>
        <item x="48"/>
        <item x="45"/>
        <item x="50"/>
        <item x="27"/>
        <item x="14"/>
        <item x="1"/>
        <item x="30"/>
        <item x="7"/>
        <item x="32"/>
        <item x="22"/>
        <item x="31"/>
        <item x="9"/>
        <item x="5"/>
        <item x="25"/>
        <item x="44"/>
        <item x="39"/>
        <item t="default"/>
      </items>
    </pivotField>
    <pivotField axis="axisRow" showAll="0">
      <items count="6">
        <item x="0"/>
        <item x="1"/>
        <item x="2"/>
        <item x="3"/>
        <item x="4"/>
        <item t="default"/>
      </items>
    </pivotField>
    <pivotField axis="axisPage" showAll="0">
      <items count="127">
        <item x="68"/>
        <item x="93"/>
        <item x="86"/>
        <item x="63"/>
        <item x="65"/>
        <item x="84"/>
        <item x="87"/>
        <item x="103"/>
        <item x="106"/>
        <item x="56"/>
        <item x="102"/>
        <item x="89"/>
        <item x="79"/>
        <item x="94"/>
        <item x="17"/>
        <item x="107"/>
        <item x="41"/>
        <item x="95"/>
        <item x="88"/>
        <item x="97"/>
        <item x="121"/>
        <item x="91"/>
        <item x="3"/>
        <item x="5"/>
        <item x="11"/>
        <item x="19"/>
        <item x="21"/>
        <item x="22"/>
        <item x="6"/>
        <item x="16"/>
        <item x="77"/>
        <item x="75"/>
        <item x="9"/>
        <item x="101"/>
        <item x="14"/>
        <item x="20"/>
        <item x="30"/>
        <item x="64"/>
        <item x="83"/>
        <item x="0"/>
        <item x="7"/>
        <item x="125"/>
        <item x="100"/>
        <item x="10"/>
        <item x="92"/>
        <item x="110"/>
        <item x="113"/>
        <item x="1"/>
        <item x="53"/>
        <item x="2"/>
        <item x="109"/>
        <item x="120"/>
        <item x="85"/>
        <item x="104"/>
        <item x="71"/>
        <item x="47"/>
        <item x="12"/>
        <item x="99"/>
        <item x="36"/>
        <item x="15"/>
        <item x="72"/>
        <item x="4"/>
        <item x="66"/>
        <item x="37"/>
        <item x="8"/>
        <item x="40"/>
        <item x="116"/>
        <item x="52"/>
        <item x="80"/>
        <item x="59"/>
        <item x="13"/>
        <item x="48"/>
        <item x="105"/>
        <item x="96"/>
        <item x="57"/>
        <item x="124"/>
        <item x="73"/>
        <item x="111"/>
        <item x="18"/>
        <item x="122"/>
        <item x="58"/>
        <item x="23"/>
        <item x="112"/>
        <item x="108"/>
        <item x="28"/>
        <item x="123"/>
        <item x="78"/>
        <item x="55"/>
        <item x="46"/>
        <item x="60"/>
        <item x="98"/>
        <item x="31"/>
        <item x="50"/>
        <item x="114"/>
        <item x="51"/>
        <item x="27"/>
        <item x="74"/>
        <item x="67"/>
        <item x="54"/>
        <item x="39"/>
        <item x="62"/>
        <item x="69"/>
        <item x="115"/>
        <item x="82"/>
        <item x="42"/>
        <item x="49"/>
        <item x="70"/>
        <item x="34"/>
        <item x="119"/>
        <item x="43"/>
        <item x="118"/>
        <item x="29"/>
        <item x="25"/>
        <item x="90"/>
        <item x="81"/>
        <item x="117"/>
        <item x="38"/>
        <item x="35"/>
        <item x="61"/>
        <item x="26"/>
        <item x="45"/>
        <item x="24"/>
        <item x="76"/>
        <item x="33"/>
        <item x="44"/>
        <item x="32"/>
        <item t="default"/>
      </items>
    </pivotField>
    <pivotField dataField="1" showAll="0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0"/>
  </colFields>
  <colItems count="3">
    <i>
      <x/>
    </i>
    <i>
      <x v="1"/>
    </i>
    <i t="grand">
      <x/>
    </i>
  </colItems>
  <pageFields count="2">
    <pageField fld="3" hier="-1"/>
    <pageField fld="1" hier="-1"/>
  </pageFields>
  <dataFields count="1">
    <dataField name="Promedio de ang izq" fld="4" subtotal="average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0046C-5BE3-4751-86D2-29F69378C628}">
  <dimension ref="A1:AL21"/>
  <sheetViews>
    <sheetView workbookViewId="0">
      <selection activeCell="AL1" sqref="AL1"/>
    </sheetView>
  </sheetViews>
  <sheetFormatPr defaultColWidth="11.42578125" defaultRowHeight="15"/>
  <cols>
    <col min="1" max="1" width="36.140625" bestFit="1" customWidth="1"/>
    <col min="2" max="2" width="4.28515625" customWidth="1"/>
    <col min="3" max="3" width="45.42578125" customWidth="1"/>
    <col min="4" max="4" width="4.42578125" customWidth="1"/>
    <col min="5" max="5" width="7.5703125" bestFit="1" customWidth="1"/>
    <col min="6" max="6" width="8.28515625" bestFit="1" customWidth="1"/>
    <col min="7" max="7" width="3" bestFit="1" customWidth="1"/>
    <col min="8" max="8" width="6" bestFit="1" customWidth="1"/>
    <col min="9" max="9" width="10.42578125" customWidth="1"/>
    <col min="10" max="10" width="7.7109375" bestFit="1" customWidth="1"/>
    <col min="11" max="11" width="9.85546875" bestFit="1" customWidth="1"/>
    <col min="12" max="12" width="9.5703125" bestFit="1" customWidth="1"/>
    <col min="14" max="14" width="3.5703125" customWidth="1"/>
    <col min="16" max="16" width="13.28515625" customWidth="1"/>
    <col min="17" max="17" width="5.5703125" bestFit="1" customWidth="1"/>
    <col min="18" max="19" width="7.140625" bestFit="1" customWidth="1"/>
    <col min="20" max="21" width="7.7109375" bestFit="1" customWidth="1"/>
    <col min="22" max="22" width="5.85546875" bestFit="1" customWidth="1"/>
    <col min="23" max="23" width="5.42578125" customWidth="1"/>
    <col min="25" max="25" width="14.28515625" customWidth="1"/>
    <col min="26" max="26" width="8.140625" bestFit="1" customWidth="1"/>
    <col min="27" max="27" width="6.7109375" bestFit="1" customWidth="1"/>
    <col min="28" max="28" width="6.85546875" bestFit="1" customWidth="1"/>
    <col min="29" max="29" width="7" bestFit="1" customWidth="1"/>
    <col min="30" max="30" width="7.85546875" bestFit="1" customWidth="1"/>
    <col min="32" max="32" width="4.42578125" customWidth="1"/>
    <col min="35" max="35" width="6" bestFit="1" customWidth="1"/>
    <col min="36" max="36" width="7.7109375" bestFit="1" customWidth="1"/>
    <col min="37" max="37" width="6" bestFit="1" customWidth="1"/>
    <col min="38" max="38" width="7.7109375" bestFit="1" customWidth="1"/>
  </cols>
  <sheetData>
    <row r="1" spans="1:38">
      <c r="A1" s="131" t="s">
        <v>0</v>
      </c>
      <c r="B1" s="131"/>
      <c r="C1" s="131"/>
    </row>
    <row r="2" spans="1:38" ht="15.75" thickBot="1">
      <c r="A2" t="s">
        <v>1</v>
      </c>
      <c r="C2" t="s">
        <v>2</v>
      </c>
      <c r="E2" s="124"/>
      <c r="F2" s="124"/>
      <c r="G2" s="132" t="s">
        <v>3</v>
      </c>
      <c r="H2" s="132" t="s">
        <v>4</v>
      </c>
      <c r="I2" s="132" t="s">
        <v>5</v>
      </c>
      <c r="J2" s="132" t="s">
        <v>6</v>
      </c>
      <c r="K2" s="132" t="s">
        <v>7</v>
      </c>
      <c r="L2" s="132" t="s">
        <v>8</v>
      </c>
      <c r="M2" s="132" t="s">
        <v>9</v>
      </c>
      <c r="O2" s="106"/>
      <c r="P2" s="107" t="s">
        <v>10</v>
      </c>
      <c r="Q2" s="108" t="s">
        <v>11</v>
      </c>
      <c r="R2" s="108" t="s">
        <v>12</v>
      </c>
      <c r="S2" s="108" t="s">
        <v>13</v>
      </c>
      <c r="T2" s="108" t="s">
        <v>14</v>
      </c>
      <c r="U2" s="108" t="s">
        <v>15</v>
      </c>
      <c r="V2" s="109" t="s">
        <v>16</v>
      </c>
    </row>
    <row r="3" spans="1:38">
      <c r="A3" t="s">
        <v>17</v>
      </c>
      <c r="C3" t="s">
        <v>18</v>
      </c>
      <c r="E3" s="124"/>
      <c r="F3" s="124"/>
      <c r="G3" s="132"/>
      <c r="H3" s="132"/>
      <c r="I3" s="132"/>
      <c r="J3" s="132"/>
      <c r="K3" s="132"/>
      <c r="L3" s="132"/>
      <c r="M3" s="132"/>
      <c r="O3" s="126" t="s">
        <v>3</v>
      </c>
      <c r="P3" s="99">
        <v>1</v>
      </c>
      <c r="Q3" s="110">
        <v>12</v>
      </c>
      <c r="R3" s="110">
        <v>10</v>
      </c>
      <c r="S3" s="110">
        <v>17</v>
      </c>
      <c r="T3" s="110">
        <v>14</v>
      </c>
      <c r="U3" s="110">
        <v>17</v>
      </c>
      <c r="V3" s="111">
        <v>70</v>
      </c>
      <c r="Y3" t="s">
        <v>19</v>
      </c>
    </row>
    <row r="4" spans="1:38">
      <c r="A4" t="s">
        <v>20</v>
      </c>
      <c r="C4" t="s">
        <v>21</v>
      </c>
      <c r="E4" s="80" t="s">
        <v>22</v>
      </c>
      <c r="F4" s="81" t="s">
        <v>11</v>
      </c>
      <c r="G4" s="76">
        <v>27</v>
      </c>
      <c r="H4" s="82">
        <v>17.477777777777778</v>
      </c>
      <c r="I4" s="82">
        <v>0.70669031836998952</v>
      </c>
      <c r="J4" s="82">
        <v>17.600000000000001</v>
      </c>
      <c r="K4" s="82">
        <v>24.1</v>
      </c>
      <c r="L4" s="82">
        <v>9.5</v>
      </c>
      <c r="M4" s="82">
        <v>5.1000000000000014</v>
      </c>
      <c r="O4" s="125"/>
      <c r="P4" s="75">
        <v>2</v>
      </c>
      <c r="Q4" s="76">
        <v>15</v>
      </c>
      <c r="R4" s="76">
        <v>17</v>
      </c>
      <c r="S4" s="76">
        <v>10</v>
      </c>
      <c r="T4" s="76">
        <v>13</v>
      </c>
      <c r="U4" s="76">
        <v>10</v>
      </c>
      <c r="V4" s="112">
        <v>65</v>
      </c>
      <c r="Y4" s="87"/>
      <c r="Z4" s="87" t="s">
        <v>23</v>
      </c>
    </row>
    <row r="5" spans="1:38">
      <c r="A5" t="s">
        <v>24</v>
      </c>
      <c r="C5" t="s">
        <v>25</v>
      </c>
      <c r="E5" s="78"/>
      <c r="F5" s="81" t="s">
        <v>12</v>
      </c>
      <c r="G5" s="76">
        <v>27</v>
      </c>
      <c r="H5" s="82">
        <v>30.349259259259252</v>
      </c>
      <c r="I5" s="82">
        <v>1.8422658015985638</v>
      </c>
      <c r="J5" s="82">
        <v>30.78</v>
      </c>
      <c r="K5" s="82">
        <v>53.56</v>
      </c>
      <c r="L5" s="82">
        <v>10.89</v>
      </c>
      <c r="M5" s="82">
        <v>11.549999999999994</v>
      </c>
      <c r="O5" s="125"/>
      <c r="P5" s="75" t="s">
        <v>26</v>
      </c>
      <c r="Q5" s="76">
        <v>27</v>
      </c>
      <c r="R5" s="76">
        <v>27</v>
      </c>
      <c r="S5" s="76">
        <v>27</v>
      </c>
      <c r="T5" s="76">
        <v>27</v>
      </c>
      <c r="U5" s="76">
        <v>27</v>
      </c>
      <c r="V5" s="112">
        <v>135</v>
      </c>
      <c r="Y5" s="76" t="s">
        <v>27</v>
      </c>
      <c r="Z5" s="83">
        <v>2.7290289206227669E-7</v>
      </c>
    </row>
    <row r="6" spans="1:38" ht="21.75" customHeight="1" thickBot="1">
      <c r="A6" t="s">
        <v>28</v>
      </c>
      <c r="C6" t="s">
        <v>29</v>
      </c>
      <c r="E6" s="78"/>
      <c r="F6" s="81" t="s">
        <v>13</v>
      </c>
      <c r="G6" s="76">
        <v>27</v>
      </c>
      <c r="H6" s="82">
        <v>21.675925925925931</v>
      </c>
      <c r="I6" s="82">
        <v>1.6874007101112978</v>
      </c>
      <c r="J6" s="82">
        <v>23.57</v>
      </c>
      <c r="K6" s="82">
        <v>36.29</v>
      </c>
      <c r="L6" s="82">
        <v>2.29</v>
      </c>
      <c r="M6" s="82">
        <v>7.6499999999999986</v>
      </c>
      <c r="O6" s="127"/>
      <c r="P6" s="103" t="s">
        <v>30</v>
      </c>
      <c r="Q6" s="105">
        <v>0.41421617824252482</v>
      </c>
      <c r="R6" s="105">
        <v>5.675944638601349E-2</v>
      </c>
      <c r="S6" s="105">
        <v>5.675944638601349E-2</v>
      </c>
      <c r="T6" s="105">
        <v>0.78549474711835421</v>
      </c>
      <c r="U6" s="105">
        <v>5.675944638601349E-2</v>
      </c>
      <c r="V6" s="115"/>
      <c r="Y6" s="76" t="s">
        <v>31</v>
      </c>
      <c r="Z6" s="83">
        <v>7.3926304855476133E-8</v>
      </c>
    </row>
    <row r="7" spans="1:38">
      <c r="A7" t="s">
        <v>32</v>
      </c>
      <c r="C7" t="s">
        <v>33</v>
      </c>
      <c r="E7" s="78"/>
      <c r="F7" s="81" t="s">
        <v>14</v>
      </c>
      <c r="G7" s="76">
        <v>27</v>
      </c>
      <c r="H7" s="82">
        <v>17.341111111111111</v>
      </c>
      <c r="I7" s="82">
        <v>1.9286222687842536</v>
      </c>
      <c r="J7" s="82">
        <v>16.600000000000001</v>
      </c>
      <c r="K7" s="82">
        <v>39.340000000000003</v>
      </c>
      <c r="L7" s="82">
        <v>2.5299999999999998</v>
      </c>
      <c r="M7" s="82">
        <v>12.555</v>
      </c>
      <c r="O7" s="125" t="s">
        <v>34</v>
      </c>
      <c r="P7" s="97">
        <v>1</v>
      </c>
      <c r="Q7" s="98">
        <v>42.25</v>
      </c>
      <c r="R7" s="98">
        <v>47.8</v>
      </c>
      <c r="S7" s="98">
        <v>44.294117647058826</v>
      </c>
      <c r="T7" s="98">
        <v>39.071428571428569</v>
      </c>
      <c r="U7" s="98">
        <v>43.882352941176471</v>
      </c>
      <c r="V7" s="114">
        <v>43.3</v>
      </c>
      <c r="Y7" s="76" t="s">
        <v>35</v>
      </c>
      <c r="Z7" s="83">
        <v>2.0275686907211821E-8</v>
      </c>
    </row>
    <row r="8" spans="1:38">
      <c r="A8" t="s">
        <v>36</v>
      </c>
      <c r="E8" s="79"/>
      <c r="F8" s="81" t="s">
        <v>15</v>
      </c>
      <c r="G8" s="76">
        <v>27</v>
      </c>
      <c r="H8" s="82">
        <v>20.755925925925926</v>
      </c>
      <c r="I8" s="82">
        <v>1.6765104393800285</v>
      </c>
      <c r="J8" s="82">
        <v>22.08</v>
      </c>
      <c r="K8" s="82">
        <v>34.58</v>
      </c>
      <c r="L8" s="82">
        <v>4.88</v>
      </c>
      <c r="M8" s="82">
        <v>7.9549999999999983</v>
      </c>
      <c r="O8" s="125"/>
      <c r="P8" s="75">
        <v>2</v>
      </c>
      <c r="Q8" s="77">
        <v>50.133333333333333</v>
      </c>
      <c r="R8" s="77">
        <v>43.411764705882355</v>
      </c>
      <c r="S8" s="77">
        <v>44.7</v>
      </c>
      <c r="T8" s="77">
        <v>44.46153846153846</v>
      </c>
      <c r="U8" s="77">
        <v>47</v>
      </c>
      <c r="V8" s="102">
        <v>45.92307692307692</v>
      </c>
    </row>
    <row r="9" spans="1:38" ht="15.75" thickBot="1">
      <c r="E9" s="78" t="s">
        <v>37</v>
      </c>
      <c r="F9" s="81" t="s">
        <v>11</v>
      </c>
      <c r="G9" s="76">
        <v>27</v>
      </c>
      <c r="H9" s="82">
        <v>17.155555555555555</v>
      </c>
      <c r="I9" s="82">
        <v>0.90344912578793724</v>
      </c>
      <c r="J9" s="82">
        <v>17.600000000000001</v>
      </c>
      <c r="K9" s="82">
        <v>24.5</v>
      </c>
      <c r="L9" s="82">
        <v>0.6</v>
      </c>
      <c r="M9" s="82">
        <v>5.3000000000000007</v>
      </c>
      <c r="O9" s="125"/>
      <c r="P9" s="95" t="s">
        <v>26</v>
      </c>
      <c r="Q9" s="96">
        <v>46.629629629629626</v>
      </c>
      <c r="R9" s="96">
        <v>45.037037037037038</v>
      </c>
      <c r="S9" s="96">
        <v>44.444444444444443</v>
      </c>
      <c r="T9" s="96">
        <v>41.666666666666664</v>
      </c>
      <c r="U9" s="96">
        <v>45.037037037037038</v>
      </c>
      <c r="V9" s="113">
        <v>44.562962962962963</v>
      </c>
      <c r="Y9" t="s">
        <v>38</v>
      </c>
      <c r="AG9" t="s">
        <v>39</v>
      </c>
    </row>
    <row r="10" spans="1:38">
      <c r="E10" s="78"/>
      <c r="F10" s="81" t="s">
        <v>12</v>
      </c>
      <c r="G10" s="76">
        <v>27</v>
      </c>
      <c r="H10" s="82">
        <v>30.665925925925922</v>
      </c>
      <c r="I10" s="82">
        <v>1.4831436793440294</v>
      </c>
      <c r="J10" s="82">
        <v>29.49</v>
      </c>
      <c r="K10" s="82">
        <v>47.48</v>
      </c>
      <c r="L10" s="82">
        <v>18.079999999999998</v>
      </c>
      <c r="M10" s="82">
        <v>12.530000000000005</v>
      </c>
      <c r="O10" s="126" t="s">
        <v>22</v>
      </c>
      <c r="P10" s="99">
        <v>1</v>
      </c>
      <c r="Q10" s="100">
        <v>17.133333333333333</v>
      </c>
      <c r="R10" s="100">
        <v>30.371000000000002</v>
      </c>
      <c r="S10" s="100">
        <v>23.297058823529412</v>
      </c>
      <c r="T10" s="100">
        <v>19.676428571428573</v>
      </c>
      <c r="U10" s="100">
        <v>17.973529411764705</v>
      </c>
      <c r="V10" s="101">
        <v>21.233999999999998</v>
      </c>
      <c r="X10" s="85"/>
      <c r="Y10" s="86" t="s">
        <v>40</v>
      </c>
      <c r="Z10" s="87" t="s">
        <v>3</v>
      </c>
      <c r="AA10" s="87" t="s">
        <v>4</v>
      </c>
      <c r="AB10" s="87" t="s">
        <v>41</v>
      </c>
      <c r="AC10" s="87" t="s">
        <v>42</v>
      </c>
      <c r="AD10" s="91" t="s">
        <v>43</v>
      </c>
      <c r="AE10" s="85" t="s">
        <v>44</v>
      </c>
      <c r="AG10" s="132" t="s">
        <v>45</v>
      </c>
      <c r="AH10" s="132" t="s">
        <v>46</v>
      </c>
      <c r="AI10" s="124" t="s">
        <v>22</v>
      </c>
      <c r="AJ10" s="124"/>
      <c r="AK10" s="124" t="s">
        <v>37</v>
      </c>
      <c r="AL10" s="124"/>
    </row>
    <row r="11" spans="1:38">
      <c r="E11" s="78"/>
      <c r="F11" s="81" t="s">
        <v>13</v>
      </c>
      <c r="G11" s="76">
        <v>27</v>
      </c>
      <c r="H11" s="82">
        <v>23.486296296296295</v>
      </c>
      <c r="I11" s="82">
        <v>1.5729254096115792</v>
      </c>
      <c r="J11" s="82">
        <v>24.89</v>
      </c>
      <c r="K11" s="82">
        <v>40.17</v>
      </c>
      <c r="L11" s="82">
        <v>4.2699999999999996</v>
      </c>
      <c r="M11" s="82">
        <v>8.4350000000000023</v>
      </c>
      <c r="O11" s="125"/>
      <c r="P11" s="75">
        <v>2</v>
      </c>
      <c r="Q11" s="77">
        <v>17.75333333333333</v>
      </c>
      <c r="R11" s="77">
        <v>30.336470588235297</v>
      </c>
      <c r="S11" s="77">
        <v>18.920000000000002</v>
      </c>
      <c r="T11" s="77">
        <v>14.826153846153847</v>
      </c>
      <c r="U11" s="77">
        <v>25.486000000000008</v>
      </c>
      <c r="V11" s="102">
        <v>21.827999999999992</v>
      </c>
      <c r="X11" s="80" t="s">
        <v>22</v>
      </c>
      <c r="Y11" s="76" t="s">
        <v>11</v>
      </c>
      <c r="Z11" s="76">
        <v>27</v>
      </c>
      <c r="AA11" s="82">
        <v>17.477777777777778</v>
      </c>
      <c r="AB11" s="82">
        <v>13.783377902400435</v>
      </c>
      <c r="AC11" s="88">
        <v>21.172177653155121</v>
      </c>
      <c r="AD11" s="92">
        <v>1.8688414044518606E-7</v>
      </c>
      <c r="AE11" s="89">
        <v>0.47848825567424635</v>
      </c>
      <c r="AG11" s="132"/>
      <c r="AH11" s="132"/>
      <c r="AI11" s="85" t="s">
        <v>47</v>
      </c>
      <c r="AJ11" s="85" t="s">
        <v>23</v>
      </c>
      <c r="AK11" s="85" t="s">
        <v>47</v>
      </c>
      <c r="AL11" s="85" t="s">
        <v>23</v>
      </c>
    </row>
    <row r="12" spans="1:38">
      <c r="E12" s="78"/>
      <c r="F12" s="81" t="s">
        <v>14</v>
      </c>
      <c r="G12" s="76">
        <v>27</v>
      </c>
      <c r="H12" s="82">
        <v>19.674074074074074</v>
      </c>
      <c r="I12" s="82">
        <v>1.5167938576571842</v>
      </c>
      <c r="J12" s="82">
        <v>19.329999999999998</v>
      </c>
      <c r="K12" s="82">
        <v>33.17</v>
      </c>
      <c r="L12" s="82">
        <v>4.4800000000000004</v>
      </c>
      <c r="M12" s="82">
        <v>9.9550000000000018</v>
      </c>
      <c r="O12" s="125"/>
      <c r="P12" s="75" t="s">
        <v>26</v>
      </c>
      <c r="Q12" s="77">
        <v>17.477777777777778</v>
      </c>
      <c r="R12" s="77">
        <v>30.349259259259266</v>
      </c>
      <c r="S12" s="77">
        <v>21.67592592592592</v>
      </c>
      <c r="T12" s="96">
        <v>17.341111111111111</v>
      </c>
      <c r="U12" s="96">
        <v>20.755925925925929</v>
      </c>
      <c r="V12" s="113">
        <v>21.52</v>
      </c>
      <c r="X12" s="78"/>
      <c r="Y12" s="76" t="s">
        <v>12</v>
      </c>
      <c r="Z12" s="76">
        <v>27</v>
      </c>
      <c r="AA12" s="82">
        <v>30.349259259259252</v>
      </c>
      <c r="AB12" s="82">
        <v>26.654859383881909</v>
      </c>
      <c r="AC12" s="88">
        <v>34.043659134636599</v>
      </c>
      <c r="AD12" s="93"/>
      <c r="AE12" s="89">
        <v>0.78314572025453821</v>
      </c>
      <c r="AG12" s="76" t="s">
        <v>11</v>
      </c>
      <c r="AH12" s="76" t="s">
        <v>12</v>
      </c>
      <c r="AI12" s="82">
        <v>12.871481481481474</v>
      </c>
      <c r="AJ12" s="84">
        <v>1.2865590909294511E-6</v>
      </c>
      <c r="AK12" s="82">
        <v>13.510370370370367</v>
      </c>
      <c r="AL12" s="84">
        <v>2.5115065693803729E-8</v>
      </c>
    </row>
    <row r="13" spans="1:38">
      <c r="E13" s="79"/>
      <c r="F13" s="81" t="s">
        <v>15</v>
      </c>
      <c r="G13" s="76">
        <v>27</v>
      </c>
      <c r="H13" s="82">
        <v>20.649629629629629</v>
      </c>
      <c r="I13" s="82">
        <v>1.8254010589629623</v>
      </c>
      <c r="J13" s="82">
        <v>22.61</v>
      </c>
      <c r="K13" s="82">
        <v>33.1</v>
      </c>
      <c r="L13" s="82">
        <v>2.95</v>
      </c>
      <c r="M13" s="82">
        <v>13.945</v>
      </c>
      <c r="O13" s="125"/>
      <c r="P13" s="128" t="s">
        <v>48</v>
      </c>
      <c r="Q13" s="128"/>
      <c r="R13" s="77" t="s">
        <v>49</v>
      </c>
      <c r="S13" s="116" t="s">
        <v>50</v>
      </c>
      <c r="T13" s="118"/>
      <c r="U13" s="119"/>
      <c r="V13" s="120"/>
      <c r="X13" s="78"/>
      <c r="Y13" s="76" t="s">
        <v>13</v>
      </c>
      <c r="Z13" s="76">
        <v>27</v>
      </c>
      <c r="AA13" s="82">
        <v>21.675925925925931</v>
      </c>
      <c r="AB13" s="82">
        <v>17.981526050548588</v>
      </c>
      <c r="AC13" s="88">
        <v>25.370325801303274</v>
      </c>
      <c r="AD13" s="93"/>
      <c r="AE13" s="90">
        <v>3.315824397439382E-3</v>
      </c>
      <c r="AG13" s="76" t="s">
        <v>11</v>
      </c>
      <c r="AH13" s="76" t="s">
        <v>13</v>
      </c>
      <c r="AI13" s="82">
        <v>4.1981481481481531</v>
      </c>
      <c r="AJ13" s="84">
        <v>0.36537818594967753</v>
      </c>
      <c r="AK13" s="82">
        <v>6.3307407407407403</v>
      </c>
      <c r="AL13" s="84">
        <v>2.628469004345324E-2</v>
      </c>
    </row>
    <row r="14" spans="1:38" ht="15.75" thickBot="1">
      <c r="O14" s="127"/>
      <c r="P14" s="129" t="s">
        <v>23</v>
      </c>
      <c r="Q14" s="130"/>
      <c r="R14" s="104">
        <v>1.2952684831700207E-8</v>
      </c>
      <c r="S14" s="117">
        <v>0.86421827956805053</v>
      </c>
      <c r="T14" s="121"/>
      <c r="U14" s="122"/>
      <c r="V14" s="123"/>
      <c r="X14" s="78"/>
      <c r="Y14" s="76" t="s">
        <v>14</v>
      </c>
      <c r="Z14" s="76">
        <v>27</v>
      </c>
      <c r="AA14" s="82">
        <v>17.341111111111111</v>
      </c>
      <c r="AB14" s="82">
        <v>13.646711235733768</v>
      </c>
      <c r="AC14" s="88">
        <v>21.035510986488454</v>
      </c>
      <c r="AD14" s="93"/>
      <c r="AE14" s="89">
        <v>0.51002891777606818</v>
      </c>
      <c r="AG14" s="76" t="s">
        <v>11</v>
      </c>
      <c r="AH14" s="76" t="s">
        <v>14</v>
      </c>
      <c r="AI14" s="82">
        <v>0.13666666666666671</v>
      </c>
      <c r="AJ14" s="84">
        <v>0.99999715679936274</v>
      </c>
      <c r="AK14" s="82">
        <v>2.518518518518519</v>
      </c>
      <c r="AL14" s="84">
        <v>0.75481641016079248</v>
      </c>
    </row>
    <row r="15" spans="1:38">
      <c r="O15" s="125" t="s">
        <v>37</v>
      </c>
      <c r="P15" s="97">
        <v>1</v>
      </c>
      <c r="Q15" s="98">
        <v>17.358333333333334</v>
      </c>
      <c r="R15" s="98">
        <v>30.084999999999997</v>
      </c>
      <c r="S15" s="98">
        <v>24.812941176470595</v>
      </c>
      <c r="T15" s="98">
        <v>19.73142857142857</v>
      </c>
      <c r="U15" s="98">
        <v>17.749411764705886</v>
      </c>
      <c r="V15" s="114">
        <v>21.556428571428572</v>
      </c>
      <c r="X15" s="79"/>
      <c r="Y15" s="76" t="s">
        <v>15</v>
      </c>
      <c r="Z15" s="76">
        <v>27</v>
      </c>
      <c r="AA15" s="82">
        <v>20.755925925925926</v>
      </c>
      <c r="AB15" s="82">
        <v>17.061526050548583</v>
      </c>
      <c r="AC15" s="88">
        <v>24.450325801303268</v>
      </c>
      <c r="AD15" s="94"/>
      <c r="AE15" s="89">
        <v>0.13481525112206871</v>
      </c>
      <c r="AG15" s="76" t="s">
        <v>11</v>
      </c>
      <c r="AH15" s="76" t="s">
        <v>15</v>
      </c>
      <c r="AI15" s="82">
        <v>3.2781481481481478</v>
      </c>
      <c r="AJ15" s="84">
        <v>0.61415095346808068</v>
      </c>
      <c r="AK15" s="82">
        <v>3.4940740740740743</v>
      </c>
      <c r="AL15" s="84">
        <v>0.46446169049251651</v>
      </c>
    </row>
    <row r="16" spans="1:38">
      <c r="O16" s="125"/>
      <c r="P16" s="75">
        <v>2</v>
      </c>
      <c r="Q16" s="77">
        <v>16.993333333333332</v>
      </c>
      <c r="R16" s="77">
        <v>31.00764705882353</v>
      </c>
      <c r="S16" s="77">
        <v>21.231000000000002</v>
      </c>
      <c r="T16" s="77">
        <v>19.612307692307692</v>
      </c>
      <c r="U16" s="77">
        <v>25.580000000000002</v>
      </c>
      <c r="V16" s="102">
        <v>23.155384615384619</v>
      </c>
      <c r="X16" s="78" t="s">
        <v>37</v>
      </c>
      <c r="Y16" s="76" t="s">
        <v>11</v>
      </c>
      <c r="Z16" s="76">
        <v>27</v>
      </c>
      <c r="AA16" s="82">
        <v>17.155555555555555</v>
      </c>
      <c r="AB16" s="82">
        <v>13.773352562794891</v>
      </c>
      <c r="AC16" s="88">
        <v>20.537758548316219</v>
      </c>
      <c r="AD16" s="92">
        <v>2.2338800880619082E-8</v>
      </c>
      <c r="AE16" s="90">
        <v>4.4871803031905078E-3</v>
      </c>
      <c r="AG16" s="76" t="s">
        <v>12</v>
      </c>
      <c r="AH16" s="76" t="s">
        <v>13</v>
      </c>
      <c r="AI16" s="82">
        <v>8.6733333333333213</v>
      </c>
      <c r="AJ16" s="84">
        <v>2.3054000009138376E-3</v>
      </c>
      <c r="AK16" s="82">
        <v>7.1796296296296269</v>
      </c>
      <c r="AL16" s="84">
        <v>7.7491979698527391E-3</v>
      </c>
    </row>
    <row r="17" spans="15:38">
      <c r="O17" s="125"/>
      <c r="P17" s="75" t="s">
        <v>26</v>
      </c>
      <c r="Q17" s="77">
        <v>17.155555555555559</v>
      </c>
      <c r="R17" s="77">
        <v>30.665925925925926</v>
      </c>
      <c r="S17" s="77">
        <v>23.486296296296306</v>
      </c>
      <c r="T17" s="96">
        <v>19.674074074074074</v>
      </c>
      <c r="U17" s="96">
        <v>20.649629629629633</v>
      </c>
      <c r="V17" s="113">
        <v>22.326296296296299</v>
      </c>
      <c r="X17" s="78"/>
      <c r="Y17" s="76" t="s">
        <v>12</v>
      </c>
      <c r="Z17" s="76">
        <v>27</v>
      </c>
      <c r="AA17" s="82">
        <v>30.665925925925922</v>
      </c>
      <c r="AB17" s="82">
        <v>27.283722933165258</v>
      </c>
      <c r="AC17" s="88">
        <v>34.048128918686587</v>
      </c>
      <c r="AD17" s="93"/>
      <c r="AE17" s="89">
        <v>0.45537981149859341</v>
      </c>
      <c r="AG17" s="76" t="s">
        <v>12</v>
      </c>
      <c r="AH17" s="76" t="s">
        <v>14</v>
      </c>
      <c r="AI17" s="82">
        <v>13.008148148148141</v>
      </c>
      <c r="AJ17" s="84">
        <v>9.7692143696814782E-7</v>
      </c>
      <c r="AK17" s="82">
        <v>10.991851851851848</v>
      </c>
      <c r="AL17" s="84">
        <v>7.0597256485172011E-6</v>
      </c>
    </row>
    <row r="18" spans="15:38">
      <c r="O18" s="125"/>
      <c r="P18" s="128" t="s">
        <v>48</v>
      </c>
      <c r="Q18" s="128"/>
      <c r="R18" s="77" t="s">
        <v>49</v>
      </c>
      <c r="S18" s="116" t="s">
        <v>50</v>
      </c>
      <c r="T18" s="118"/>
      <c r="U18" s="119"/>
      <c r="V18" s="120"/>
      <c r="X18" s="78"/>
      <c r="Y18" s="76" t="s">
        <v>13</v>
      </c>
      <c r="Z18" s="76">
        <v>27</v>
      </c>
      <c r="AA18" s="82">
        <v>23.486296296296295</v>
      </c>
      <c r="AB18" s="82">
        <v>20.104093303535631</v>
      </c>
      <c r="AC18" s="88">
        <v>26.86849928905696</v>
      </c>
      <c r="AD18" s="93"/>
      <c r="AE18" s="89">
        <v>0.39975597033171839</v>
      </c>
      <c r="AG18" s="76" t="s">
        <v>12</v>
      </c>
      <c r="AH18" s="76" t="s">
        <v>15</v>
      </c>
      <c r="AI18" s="82">
        <v>9.5933333333333266</v>
      </c>
      <c r="AJ18" s="84">
        <v>5.3570370387634458E-4</v>
      </c>
      <c r="AK18" s="82">
        <v>10.016296296296293</v>
      </c>
      <c r="AL18" s="84">
        <v>5.183634151384453E-5</v>
      </c>
    </row>
    <row r="19" spans="15:38" ht="15.75" thickBot="1">
      <c r="O19" s="127"/>
      <c r="P19" s="129" t="s">
        <v>23</v>
      </c>
      <c r="Q19" s="130"/>
      <c r="R19" s="104">
        <v>1.2952684831700207E-8</v>
      </c>
      <c r="S19" s="117">
        <v>0.43319298953706009</v>
      </c>
      <c r="T19" s="121"/>
      <c r="U19" s="122"/>
      <c r="V19" s="123"/>
      <c r="X19" s="78"/>
      <c r="Y19" s="76" t="s">
        <v>14</v>
      </c>
      <c r="Z19" s="76">
        <v>27</v>
      </c>
      <c r="AA19" s="82">
        <v>19.674074074074074</v>
      </c>
      <c r="AB19" s="82">
        <v>16.29187108131341</v>
      </c>
      <c r="AC19" s="88">
        <v>23.056277066834738</v>
      </c>
      <c r="AD19" s="93"/>
      <c r="AE19" s="89">
        <v>0.74927764436293587</v>
      </c>
      <c r="AG19" s="76" t="s">
        <v>13</v>
      </c>
      <c r="AH19" s="76" t="s">
        <v>14</v>
      </c>
      <c r="AI19" s="82">
        <v>4.3348148148148198</v>
      </c>
      <c r="AJ19" s="84">
        <v>0.33250070910751983</v>
      </c>
      <c r="AK19" s="82">
        <v>3.8122222222222213</v>
      </c>
      <c r="AL19" s="84">
        <v>0.37380544505407143</v>
      </c>
    </row>
    <row r="20" spans="15:38">
      <c r="X20" s="79"/>
      <c r="Y20" s="76" t="s">
        <v>15</v>
      </c>
      <c r="Z20" s="76">
        <v>27</v>
      </c>
      <c r="AA20" s="82">
        <v>20.649629629629629</v>
      </c>
      <c r="AB20" s="82">
        <v>17.267426636868965</v>
      </c>
      <c r="AC20" s="88">
        <v>24.031832622390294</v>
      </c>
      <c r="AD20" s="94"/>
      <c r="AE20" s="89">
        <v>8.4156018956150325E-2</v>
      </c>
      <c r="AG20" s="76" t="s">
        <v>13</v>
      </c>
      <c r="AH20" s="76" t="s">
        <v>15</v>
      </c>
      <c r="AI20" s="82">
        <v>0.92000000000000526</v>
      </c>
      <c r="AJ20" s="84">
        <v>0.9945805361449066</v>
      </c>
      <c r="AK20" s="82">
        <v>2.836666666666666</v>
      </c>
      <c r="AL20" s="84">
        <v>0.66377041282548399</v>
      </c>
    </row>
    <row r="21" spans="15:38">
      <c r="AG21" s="76" t="s">
        <v>14</v>
      </c>
      <c r="AH21" s="76" t="s">
        <v>15</v>
      </c>
      <c r="AI21" s="82">
        <v>3.4148148148148145</v>
      </c>
      <c r="AJ21" s="84">
        <v>0.57590401215496578</v>
      </c>
      <c r="AK21" s="82">
        <v>0.97555555555555529</v>
      </c>
      <c r="AL21" s="84">
        <v>0.99049417793848071</v>
      </c>
    </row>
  </sheetData>
  <mergeCells count="23">
    <mergeCell ref="A1:C1"/>
    <mergeCell ref="M2:M3"/>
    <mergeCell ref="E2:F3"/>
    <mergeCell ref="AG10:AG11"/>
    <mergeCell ref="AH10:AH11"/>
    <mergeCell ref="O3:O6"/>
    <mergeCell ref="G2:G3"/>
    <mergeCell ref="H2:H3"/>
    <mergeCell ref="I2:I3"/>
    <mergeCell ref="J2:J3"/>
    <mergeCell ref="K2:K3"/>
    <mergeCell ref="L2:L3"/>
    <mergeCell ref="T18:V19"/>
    <mergeCell ref="AI10:AJ10"/>
    <mergeCell ref="AK10:AL10"/>
    <mergeCell ref="O7:O9"/>
    <mergeCell ref="O10:O14"/>
    <mergeCell ref="P13:Q13"/>
    <mergeCell ref="P14:Q14"/>
    <mergeCell ref="O15:O19"/>
    <mergeCell ref="P18:Q18"/>
    <mergeCell ref="P19:Q19"/>
    <mergeCell ref="T13:V14"/>
  </mergeCells>
  <conditionalFormatting sqref="AJ11:AJ21 AL11:AL21">
    <cfRule type="cellIs" dxfId="0" priority="1" operator="lessThan">
      <formula>0.05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22FE8-69DE-4D98-91DB-BA24BF247725}">
  <dimension ref="A1:DF413"/>
  <sheetViews>
    <sheetView tabSelected="1" workbookViewId="0">
      <selection activeCell="K9" sqref="K9"/>
    </sheetView>
  </sheetViews>
  <sheetFormatPr defaultColWidth="11.42578125" defaultRowHeight="15"/>
  <cols>
    <col min="87" max="87" width="19.140625" bestFit="1" customWidth="1"/>
    <col min="88" max="88" width="22.42578125" bestFit="1" customWidth="1"/>
    <col min="89" max="89" width="12" bestFit="1" customWidth="1"/>
    <col min="90" max="90" width="12.5703125" bestFit="1" customWidth="1"/>
  </cols>
  <sheetData>
    <row r="1" spans="1:110">
      <c r="A1" t="s">
        <v>51</v>
      </c>
      <c r="B1" t="s">
        <v>52</v>
      </c>
      <c r="C1" t="s">
        <v>53</v>
      </c>
      <c r="D1" t="s">
        <v>54</v>
      </c>
      <c r="E1" t="s">
        <v>55</v>
      </c>
      <c r="F1" t="s">
        <v>56</v>
      </c>
      <c r="G1" t="s">
        <v>22</v>
      </c>
      <c r="H1" t="s">
        <v>37</v>
      </c>
      <c r="J1" t="s">
        <v>57</v>
      </c>
      <c r="K1" s="2" t="s">
        <v>58</v>
      </c>
      <c r="L1" s="2"/>
      <c r="M1" s="2"/>
      <c r="N1" s="2"/>
      <c r="O1" s="2"/>
      <c r="P1" s="2"/>
      <c r="BJ1" t="s">
        <v>54</v>
      </c>
      <c r="BK1" t="s">
        <v>55</v>
      </c>
      <c r="BL1" t="s">
        <v>56</v>
      </c>
      <c r="BM1" t="s">
        <v>54</v>
      </c>
      <c r="BN1" t="s">
        <v>37</v>
      </c>
      <c r="BO1" t="s">
        <v>37</v>
      </c>
      <c r="CI1" s="68" t="s">
        <v>22</v>
      </c>
      <c r="CJ1" t="s">
        <v>59</v>
      </c>
    </row>
    <row r="2" spans="1:110">
      <c r="A2">
        <v>1</v>
      </c>
      <c r="B2" t="s">
        <v>60</v>
      </c>
      <c r="C2">
        <v>1</v>
      </c>
      <c r="D2">
        <v>1</v>
      </c>
      <c r="E2">
        <v>36</v>
      </c>
      <c r="F2" t="s">
        <v>11</v>
      </c>
      <c r="G2">
        <v>17.600000000000001</v>
      </c>
      <c r="H2">
        <v>17.8</v>
      </c>
      <c r="J2" t="s">
        <v>61</v>
      </c>
      <c r="K2" s="2" t="s">
        <v>62</v>
      </c>
      <c r="L2" s="2"/>
      <c r="M2" s="2"/>
      <c r="N2" s="2"/>
      <c r="O2" s="2"/>
      <c r="P2" s="2"/>
      <c r="BJ2">
        <v>1</v>
      </c>
      <c r="BK2">
        <v>36</v>
      </c>
      <c r="BL2" t="s">
        <v>11</v>
      </c>
      <c r="BM2">
        <v>1</v>
      </c>
      <c r="BN2">
        <v>17.8</v>
      </c>
      <c r="BO2">
        <v>17.8</v>
      </c>
      <c r="BV2" t="s">
        <v>48</v>
      </c>
      <c r="CD2" t="s">
        <v>63</v>
      </c>
      <c r="CI2" s="68" t="s">
        <v>55</v>
      </c>
      <c r="CJ2" t="s">
        <v>59</v>
      </c>
      <c r="CP2" s="131" t="s">
        <v>3</v>
      </c>
      <c r="CQ2" s="131"/>
      <c r="CR2" s="131"/>
      <c r="CT2" s="131" t="s">
        <v>34</v>
      </c>
      <c r="CU2" s="131"/>
      <c r="CV2" s="131"/>
      <c r="CW2" s="131" t="s">
        <v>22</v>
      </c>
      <c r="CX2" s="131"/>
      <c r="CY2" s="131"/>
      <c r="CZ2" s="131"/>
      <c r="DA2" s="131"/>
      <c r="DB2" s="131" t="s">
        <v>37</v>
      </c>
      <c r="DC2" s="131"/>
      <c r="DD2" s="131"/>
      <c r="DE2" s="131"/>
      <c r="DF2" s="131"/>
    </row>
    <row r="3" spans="1:110">
      <c r="A3">
        <v>2</v>
      </c>
      <c r="B3" t="s">
        <v>64</v>
      </c>
      <c r="C3">
        <v>2</v>
      </c>
      <c r="D3">
        <v>2</v>
      </c>
      <c r="E3">
        <v>60</v>
      </c>
      <c r="F3" t="s">
        <v>11</v>
      </c>
      <c r="G3">
        <v>19</v>
      </c>
      <c r="H3">
        <v>18</v>
      </c>
      <c r="J3" t="s">
        <v>65</v>
      </c>
      <c r="K3" s="2" t="s">
        <v>66</v>
      </c>
      <c r="L3" s="2"/>
      <c r="M3" s="2"/>
      <c r="N3" s="2"/>
      <c r="O3" s="2"/>
      <c r="P3" s="2"/>
      <c r="BJ3">
        <v>1</v>
      </c>
      <c r="BK3">
        <v>67</v>
      </c>
      <c r="BL3" t="s">
        <v>11</v>
      </c>
      <c r="BM3">
        <v>1</v>
      </c>
      <c r="BN3">
        <v>14.1</v>
      </c>
      <c r="BO3">
        <v>14.1</v>
      </c>
      <c r="CO3" s="69" t="s">
        <v>67</v>
      </c>
      <c r="CP3" s="69">
        <v>1</v>
      </c>
      <c r="CQ3" s="69">
        <v>2</v>
      </c>
      <c r="CR3" s="69" t="s">
        <v>26</v>
      </c>
      <c r="CS3" s="69" t="s">
        <v>30</v>
      </c>
      <c r="CT3" s="69">
        <v>1</v>
      </c>
      <c r="CU3" s="69">
        <v>2</v>
      </c>
      <c r="CV3" s="69" t="s">
        <v>26</v>
      </c>
      <c r="CW3" s="69">
        <v>1</v>
      </c>
      <c r="CX3" s="69">
        <v>2</v>
      </c>
      <c r="CY3" s="69" t="s">
        <v>26</v>
      </c>
      <c r="CZ3" s="133" t="s">
        <v>48</v>
      </c>
      <c r="DA3" s="133" t="s">
        <v>23</v>
      </c>
      <c r="DB3" s="69">
        <v>1</v>
      </c>
      <c r="DC3" s="69">
        <v>2</v>
      </c>
      <c r="DD3" s="69" t="s">
        <v>26</v>
      </c>
      <c r="DE3" s="133" t="s">
        <v>48</v>
      </c>
      <c r="DF3" s="133" t="s">
        <v>23</v>
      </c>
    </row>
    <row r="4" spans="1:110" ht="15.75" thickBot="1">
      <c r="A4">
        <v>3</v>
      </c>
      <c r="B4" t="s">
        <v>68</v>
      </c>
      <c r="C4">
        <v>3</v>
      </c>
      <c r="D4">
        <v>2</v>
      </c>
      <c r="E4">
        <v>47</v>
      </c>
      <c r="F4" t="s">
        <v>11</v>
      </c>
      <c r="G4">
        <v>19.3</v>
      </c>
      <c r="H4">
        <v>19</v>
      </c>
      <c r="K4" s="2"/>
      <c r="L4" s="2"/>
      <c r="M4" s="2"/>
      <c r="N4" s="2"/>
      <c r="O4" s="2"/>
      <c r="P4" s="2"/>
      <c r="BJ4">
        <v>1</v>
      </c>
      <c r="BK4">
        <v>62</v>
      </c>
      <c r="BL4" t="s">
        <v>11</v>
      </c>
      <c r="BM4">
        <v>1</v>
      </c>
      <c r="BN4">
        <v>17.600000000000001</v>
      </c>
      <c r="BO4">
        <v>17.600000000000001</v>
      </c>
      <c r="BQ4" t="s">
        <v>69</v>
      </c>
      <c r="BR4" t="str">
        <f>IF(COUNTIF(BR6:BS10,BR6)=COUNT(BR6:BS10),"balanced","unbalanced")</f>
        <v>unbalanced</v>
      </c>
      <c r="BV4" t="s">
        <v>28</v>
      </c>
      <c r="BZ4" s="10" t="s">
        <v>70</v>
      </c>
      <c r="CA4" s="10">
        <v>0.05</v>
      </c>
      <c r="CD4" s="48" t="str">
        <f t="array" ref="CD4:CF89">[1]!StdAnova2(BL2:BN136)</f>
        <v/>
      </c>
      <c r="CE4" s="48">
        <v>1</v>
      </c>
      <c r="CF4" s="48">
        <v>2</v>
      </c>
      <c r="CI4" s="68" t="s">
        <v>71</v>
      </c>
      <c r="CJ4" s="68" t="s">
        <v>72</v>
      </c>
      <c r="CN4" t="s">
        <v>22</v>
      </c>
      <c r="CO4" s="62" t="s">
        <v>11</v>
      </c>
      <c r="CP4">
        <v>12</v>
      </c>
      <c r="CQ4">
        <v>15</v>
      </c>
      <c r="CR4">
        <v>27</v>
      </c>
      <c r="CS4" s="73">
        <v>0.41421617824252482</v>
      </c>
      <c r="CT4" s="67">
        <v>42.25</v>
      </c>
      <c r="CU4" s="67">
        <v>50.133333333333333</v>
      </c>
      <c r="CV4" s="67">
        <v>46.629629629629626</v>
      </c>
      <c r="CW4" s="67">
        <v>17.133333333333333</v>
      </c>
      <c r="CX4" s="67">
        <v>17.75333333333333</v>
      </c>
      <c r="CY4" s="67">
        <v>17.477777777777778</v>
      </c>
      <c r="CZ4" s="133"/>
      <c r="DA4" s="134"/>
      <c r="DB4" s="67">
        <v>17.358333333333334</v>
      </c>
      <c r="DC4" s="67">
        <v>16.993333333333332</v>
      </c>
      <c r="DD4" s="67">
        <v>17.155555555555559</v>
      </c>
      <c r="DE4" s="133"/>
      <c r="DF4" s="134"/>
    </row>
    <row r="5" spans="1:110" ht="15.75" thickTop="1">
      <c r="A5">
        <v>4</v>
      </c>
      <c r="B5" t="s">
        <v>73</v>
      </c>
      <c r="C5">
        <v>4</v>
      </c>
      <c r="D5">
        <v>2</v>
      </c>
      <c r="E5">
        <v>46</v>
      </c>
      <c r="F5" t="s">
        <v>11</v>
      </c>
      <c r="G5">
        <v>13.9</v>
      </c>
      <c r="H5">
        <v>14</v>
      </c>
      <c r="K5" s="2" t="s">
        <v>74</v>
      </c>
      <c r="L5" s="2"/>
      <c r="M5" s="2"/>
      <c r="N5" s="2"/>
      <c r="O5" s="2"/>
      <c r="P5" s="2"/>
      <c r="BJ5">
        <v>1</v>
      </c>
      <c r="BK5">
        <v>25</v>
      </c>
      <c r="BL5" t="s">
        <v>11</v>
      </c>
      <c r="BM5">
        <v>1</v>
      </c>
      <c r="BN5">
        <v>22.3</v>
      </c>
      <c r="BO5">
        <v>22.3</v>
      </c>
      <c r="BR5">
        <f t="array" ref="BR5:BS5">TRANSPOSE([1]!SortUnique(BM2:BM136))</f>
        <v>1</v>
      </c>
      <c r="BS5">
        <v>2</v>
      </c>
      <c r="BV5" s="59"/>
      <c r="BW5" s="59" t="s">
        <v>75</v>
      </c>
      <c r="BX5" s="59" t="s">
        <v>76</v>
      </c>
      <c r="BY5" s="59" t="s">
        <v>77</v>
      </c>
      <c r="BZ5" s="59" t="s">
        <v>78</v>
      </c>
      <c r="CA5" s="59" t="s">
        <v>23</v>
      </c>
      <c r="CB5" s="59" t="s">
        <v>79</v>
      </c>
      <c r="CD5" s="48" t="str">
        <v>I</v>
      </c>
      <c r="CE5" s="48">
        <v>17.8</v>
      </c>
      <c r="CF5" s="48">
        <v>18</v>
      </c>
      <c r="CI5" s="68" t="s">
        <v>67</v>
      </c>
      <c r="CJ5">
        <v>1</v>
      </c>
      <c r="CK5">
        <v>2</v>
      </c>
      <c r="CL5" t="s">
        <v>80</v>
      </c>
      <c r="CO5" s="62" t="s">
        <v>12</v>
      </c>
      <c r="CP5">
        <v>10</v>
      </c>
      <c r="CQ5">
        <v>17</v>
      </c>
      <c r="CR5">
        <v>27</v>
      </c>
      <c r="CS5" s="73">
        <v>5.675944638601349E-2</v>
      </c>
      <c r="CT5" s="67">
        <v>47.8</v>
      </c>
      <c r="CU5" s="67">
        <v>43.411764705882355</v>
      </c>
      <c r="CV5" s="67">
        <v>45.037037037037038</v>
      </c>
      <c r="CW5" s="67">
        <v>30.371000000000002</v>
      </c>
      <c r="CX5" s="67">
        <v>30.336470588235297</v>
      </c>
      <c r="CY5" s="67">
        <v>30.349259259259266</v>
      </c>
      <c r="CZ5" s="67" t="s">
        <v>49</v>
      </c>
      <c r="DA5" s="74">
        <v>1.2952684831700207E-8</v>
      </c>
      <c r="DB5" s="67">
        <v>30.084999999999997</v>
      </c>
      <c r="DC5" s="67">
        <v>31.00764705882353</v>
      </c>
      <c r="DD5" s="67">
        <v>30.665925925925926</v>
      </c>
      <c r="DE5" s="67" t="s">
        <v>49</v>
      </c>
      <c r="DF5" s="74">
        <v>1.2952684831700207E-8</v>
      </c>
    </row>
    <row r="6" spans="1:110">
      <c r="A6">
        <v>5</v>
      </c>
      <c r="B6" t="s">
        <v>81</v>
      </c>
      <c r="C6">
        <v>5</v>
      </c>
      <c r="D6">
        <v>2</v>
      </c>
      <c r="E6">
        <v>53</v>
      </c>
      <c r="F6" t="s">
        <v>11</v>
      </c>
      <c r="G6">
        <v>21.5</v>
      </c>
      <c r="H6">
        <v>20.9</v>
      </c>
      <c r="K6" s="2" t="s">
        <v>82</v>
      </c>
      <c r="L6" s="2"/>
      <c r="M6" s="2"/>
      <c r="N6" s="2"/>
      <c r="O6" s="2"/>
      <c r="P6" s="2"/>
      <c r="BJ6">
        <v>1</v>
      </c>
      <c r="BK6">
        <v>19</v>
      </c>
      <c r="BL6" t="s">
        <v>11</v>
      </c>
      <c r="BM6">
        <v>1</v>
      </c>
      <c r="BN6">
        <v>20.6</v>
      </c>
      <c r="BO6">
        <v>20.6</v>
      </c>
      <c r="BQ6" t="str">
        <f t="array" ref="BQ6:BQ10">[1]!SortUnique(BL2:BL136)</f>
        <v>I</v>
      </c>
      <c r="BR6" s="51">
        <f t="array" ref="BR6">COUNTIFS($BL$2:$BL$136,$BQ6,$BM$2:$BM$136,BR$5)</f>
        <v>12</v>
      </c>
      <c r="BS6" s="53">
        <f t="array" ref="BS6">COUNTIFS($BL$2:$BL$136,$BQ6,$BM$2:$BM$136,BS$5)</f>
        <v>15</v>
      </c>
      <c r="BT6">
        <f t="array" ref="BT6">SUM(BR6:BS6)</f>
        <v>27</v>
      </c>
      <c r="BV6" t="s">
        <v>83</v>
      </c>
      <c r="BW6">
        <f>DEVSQ(BT15:BT19)*BT6</f>
        <v>2754.6320754986732</v>
      </c>
      <c r="BX6">
        <f>COUNT(BT15:BT19)-1</f>
        <v>4</v>
      </c>
      <c r="BY6">
        <f>BW6/BX6</f>
        <v>688.6580188746683</v>
      </c>
      <c r="BZ6">
        <f>BY6/BY9</f>
        <v>13.84220352276362</v>
      </c>
      <c r="CA6">
        <f>_xlfn.F.DIST.RT(BZ6,BX6,BX9)</f>
        <v>2.2481995067253729E-9</v>
      </c>
      <c r="CB6">
        <f>BW6/(BW6+BW9)</f>
        <v>0.30697553992400806</v>
      </c>
      <c r="CD6" s="49" t="str">
        <v/>
      </c>
      <c r="CE6" s="49">
        <v>14.1</v>
      </c>
      <c r="CF6" s="49">
        <v>19</v>
      </c>
      <c r="CI6" s="62" t="s">
        <v>11</v>
      </c>
      <c r="CJ6">
        <v>17.358333333333334</v>
      </c>
      <c r="CK6">
        <v>16.993333333333332</v>
      </c>
      <c r="CL6">
        <v>17.155555555555559</v>
      </c>
      <c r="CO6" s="62" t="s">
        <v>13</v>
      </c>
      <c r="CP6">
        <v>17</v>
      </c>
      <c r="CQ6">
        <v>10</v>
      </c>
      <c r="CR6">
        <v>27</v>
      </c>
      <c r="CS6" s="73">
        <v>5.675944638601349E-2</v>
      </c>
      <c r="CT6" s="67">
        <v>44.294117647058826</v>
      </c>
      <c r="CU6" s="67">
        <v>44.7</v>
      </c>
      <c r="CV6" s="67">
        <v>44.444444444444443</v>
      </c>
      <c r="CW6" s="67">
        <v>23.297058823529412</v>
      </c>
      <c r="CX6" s="67">
        <v>18.920000000000002</v>
      </c>
      <c r="CY6" s="67">
        <v>21.67592592592592</v>
      </c>
      <c r="CZ6" s="67" t="s">
        <v>50</v>
      </c>
      <c r="DA6" s="73">
        <v>0.86421827956805053</v>
      </c>
      <c r="DB6" s="67">
        <v>24.812941176470595</v>
      </c>
      <c r="DC6" s="67">
        <v>21.231000000000002</v>
      </c>
      <c r="DD6" s="67">
        <v>23.486296296296306</v>
      </c>
      <c r="DE6" s="67" t="s">
        <v>50</v>
      </c>
      <c r="DF6" s="73">
        <v>0.43319298953706009</v>
      </c>
    </row>
    <row r="7" spans="1:110">
      <c r="A7">
        <v>6</v>
      </c>
      <c r="B7" t="s">
        <v>84</v>
      </c>
      <c r="C7">
        <v>6</v>
      </c>
      <c r="D7">
        <v>1</v>
      </c>
      <c r="E7">
        <v>67</v>
      </c>
      <c r="F7" t="s">
        <v>11</v>
      </c>
      <c r="G7">
        <v>14.5</v>
      </c>
      <c r="H7">
        <v>14.1</v>
      </c>
      <c r="K7" s="2" t="s">
        <v>85</v>
      </c>
      <c r="L7" s="2"/>
      <c r="M7" s="2"/>
      <c r="N7" s="2"/>
      <c r="O7" s="2"/>
      <c r="P7" s="2"/>
      <c r="BJ7">
        <v>1</v>
      </c>
      <c r="BK7">
        <v>59</v>
      </c>
      <c r="BL7" t="s">
        <v>11</v>
      </c>
      <c r="BM7">
        <v>1</v>
      </c>
      <c r="BN7">
        <v>20.399999999999999</v>
      </c>
      <c r="BO7">
        <v>20.399999999999999</v>
      </c>
      <c r="BQ7" t="str">
        <v>II ALTO</v>
      </c>
      <c r="BR7" s="54">
        <f t="array" ref="BR7">COUNTIFS($BL$2:$BL$136,$BQ7,$BM$2:$BM$136,BR$5)</f>
        <v>10</v>
      </c>
      <c r="BS7" s="55">
        <f t="array" ref="BS7">COUNTIFS($BL$2:$BL$136,$BQ7,$BM$2:$BM$136,BS$5)</f>
        <v>17</v>
      </c>
      <c r="BT7">
        <f t="array" ref="BT7">SUM(BR7:BS7)</f>
        <v>27</v>
      </c>
      <c r="BV7" t="s">
        <v>86</v>
      </c>
      <c r="BW7">
        <f>DEVSQ(BR20:BS20)*BR11</f>
        <v>30.757430155138323</v>
      </c>
      <c r="BX7">
        <f>COUNT(BR20:BS20)-1</f>
        <v>1</v>
      </c>
      <c r="BY7">
        <f>BW7/BX7</f>
        <v>30.757430155138323</v>
      </c>
      <c r="BZ7">
        <f>BY7/BY9</f>
        <v>0.61823226677927612</v>
      </c>
      <c r="CA7">
        <f>_xlfn.F.DIST.RT(BZ7,BX7,BX9)</f>
        <v>0.43319298953706009</v>
      </c>
      <c r="CB7">
        <f>BW7/(BW7+BW9)</f>
        <v>4.9215170093009856E-3</v>
      </c>
      <c r="CD7" s="49" t="str">
        <v/>
      </c>
      <c r="CE7" s="49">
        <v>17.600000000000001</v>
      </c>
      <c r="CF7" s="49">
        <v>14</v>
      </c>
      <c r="CI7" s="62" t="s">
        <v>12</v>
      </c>
      <c r="CJ7">
        <v>30.084999999999997</v>
      </c>
      <c r="CK7">
        <v>31.00764705882353</v>
      </c>
      <c r="CL7">
        <v>30.665925925925926</v>
      </c>
      <c r="CO7" s="62" t="s">
        <v>14</v>
      </c>
      <c r="CP7">
        <v>14</v>
      </c>
      <c r="CQ7">
        <v>13</v>
      </c>
      <c r="CR7">
        <v>27</v>
      </c>
      <c r="CS7" s="73">
        <v>0.78549474711835421</v>
      </c>
      <c r="CT7" s="67">
        <v>39.071428571428569</v>
      </c>
      <c r="CU7" s="67">
        <v>44.46153846153846</v>
      </c>
      <c r="CV7" s="67">
        <v>41.666666666666664</v>
      </c>
      <c r="CW7" s="67">
        <v>19.676428571428573</v>
      </c>
      <c r="CX7" s="67">
        <v>14.826153846153847</v>
      </c>
      <c r="CY7" s="67">
        <v>17.341111111111111</v>
      </c>
      <c r="CZ7" s="67"/>
      <c r="DA7" s="67"/>
      <c r="DB7" s="67">
        <v>19.73142857142857</v>
      </c>
      <c r="DC7" s="67">
        <v>19.612307692307692</v>
      </c>
      <c r="DD7" s="67">
        <v>19.674074074074074</v>
      </c>
      <c r="DE7" s="67"/>
      <c r="DF7" s="67"/>
    </row>
    <row r="8" spans="1:110">
      <c r="A8">
        <v>7</v>
      </c>
      <c r="B8" t="s">
        <v>87</v>
      </c>
      <c r="C8">
        <v>7</v>
      </c>
      <c r="D8">
        <v>2</v>
      </c>
      <c r="E8">
        <v>32</v>
      </c>
      <c r="F8" t="s">
        <v>11</v>
      </c>
      <c r="G8">
        <v>15.4</v>
      </c>
      <c r="H8">
        <v>14.6</v>
      </c>
      <c r="K8" s="2" t="s">
        <v>88</v>
      </c>
      <c r="L8" s="2"/>
      <c r="M8" s="2"/>
      <c r="N8" s="2"/>
      <c r="O8" s="2"/>
      <c r="P8" s="2"/>
      <c r="BJ8">
        <v>1</v>
      </c>
      <c r="BK8">
        <v>26</v>
      </c>
      <c r="BL8" t="s">
        <v>11</v>
      </c>
      <c r="BM8">
        <v>1</v>
      </c>
      <c r="BN8">
        <v>16.7</v>
      </c>
      <c r="BO8">
        <v>16.7</v>
      </c>
      <c r="BQ8" t="str">
        <v>II BAJO</v>
      </c>
      <c r="BR8" s="54">
        <f t="array" ref="BR8">COUNTIFS($BL$2:$BL$136,$BQ8,$BM$2:$BM$136,BR$5)</f>
        <v>17</v>
      </c>
      <c r="BS8" s="55">
        <f t="array" ref="BS8">COUNTIFS($BL$2:$BL$136,$BQ8,$BM$2:$BM$136,BS$5)</f>
        <v>10</v>
      </c>
      <c r="BT8">
        <f t="array" ref="BT8">SUM(BR8:BS8)</f>
        <v>27</v>
      </c>
      <c r="BV8" t="s">
        <v>89</v>
      </c>
      <c r="BW8">
        <f>BW10-BW6-BW7-BW9</f>
        <v>1705.8590451586624</v>
      </c>
      <c r="BX8">
        <f>BX7*BX6</f>
        <v>4</v>
      </c>
      <c r="BY8">
        <f>BW8/BX8</f>
        <v>426.4647612896656</v>
      </c>
      <c r="BZ8">
        <f>BY8/BY9</f>
        <v>8.5720515252327374</v>
      </c>
      <c r="CA8">
        <f>_xlfn.F.DIST.RT(BZ8,BX8,BX9)</f>
        <v>3.8052043120662333E-6</v>
      </c>
      <c r="CB8">
        <f>BW8/(BW8+BW9)</f>
        <v>0.21525891301208241</v>
      </c>
      <c r="CD8" s="49" t="str">
        <v/>
      </c>
      <c r="CE8" s="49">
        <v>22.3</v>
      </c>
      <c r="CF8" s="49">
        <v>20.9</v>
      </c>
      <c r="CI8" s="62" t="s">
        <v>13</v>
      </c>
      <c r="CJ8">
        <v>24.812941176470595</v>
      </c>
      <c r="CK8">
        <v>21.231000000000002</v>
      </c>
      <c r="CL8">
        <v>23.486296296296306</v>
      </c>
      <c r="CO8" s="62" t="s">
        <v>15</v>
      </c>
      <c r="CP8">
        <v>17</v>
      </c>
      <c r="CQ8">
        <v>10</v>
      </c>
      <c r="CR8">
        <v>27</v>
      </c>
      <c r="CS8" s="73">
        <v>5.675944638601349E-2</v>
      </c>
      <c r="CT8" s="67">
        <v>43.882352941176471</v>
      </c>
      <c r="CU8" s="67">
        <v>47</v>
      </c>
      <c r="CV8" s="67">
        <v>45.037037037037038</v>
      </c>
      <c r="CW8" s="67">
        <v>17.973529411764705</v>
      </c>
      <c r="CX8" s="67">
        <v>25.486000000000008</v>
      </c>
      <c r="CY8" s="67">
        <v>20.755925925925929</v>
      </c>
      <c r="CZ8" s="67"/>
      <c r="DA8" s="67"/>
      <c r="DB8" s="67">
        <v>17.749411764705886</v>
      </c>
      <c r="DC8" s="67">
        <v>25.580000000000002</v>
      </c>
      <c r="DD8" s="67">
        <v>20.649629629629633</v>
      </c>
      <c r="DE8" s="67"/>
      <c r="DF8" s="67"/>
    </row>
    <row r="9" spans="1:110">
      <c r="A9">
        <v>8</v>
      </c>
      <c r="B9" t="s">
        <v>90</v>
      </c>
      <c r="C9">
        <v>8</v>
      </c>
      <c r="D9">
        <v>1</v>
      </c>
      <c r="E9">
        <v>62</v>
      </c>
      <c r="F9" t="s">
        <v>11</v>
      </c>
      <c r="G9">
        <v>17.8</v>
      </c>
      <c r="H9">
        <v>17.600000000000001</v>
      </c>
      <c r="K9" s="2" t="s">
        <v>91</v>
      </c>
      <c r="L9" s="2"/>
      <c r="M9" s="2"/>
      <c r="N9" s="2"/>
      <c r="O9" s="2"/>
      <c r="P9" s="2"/>
      <c r="BJ9">
        <v>1</v>
      </c>
      <c r="BK9">
        <v>32</v>
      </c>
      <c r="BL9" t="s">
        <v>11</v>
      </c>
      <c r="BM9">
        <v>1</v>
      </c>
      <c r="BN9">
        <v>22.4</v>
      </c>
      <c r="BO9">
        <v>22.4</v>
      </c>
      <c r="BQ9" t="str">
        <v>III ALTO</v>
      </c>
      <c r="BR9" s="54">
        <f t="array" ref="BR9">COUNTIFS($BL$2:$BL$136,$BQ9,$BM$2:$BM$136,BR$5)</f>
        <v>14</v>
      </c>
      <c r="BS9" s="55">
        <f t="array" ref="BS9">COUNTIFS($BL$2:$BL$136,$BQ9,$BM$2:$BM$136,BS$5)</f>
        <v>13</v>
      </c>
      <c r="BT9">
        <f t="array" ref="BT9">SUM(BR9:BS9)</f>
        <v>27</v>
      </c>
      <c r="BV9" t="s">
        <v>92</v>
      </c>
      <c r="BW9">
        <f>SUM(BR24:BS28)*(BR6-1)</f>
        <v>6218.8257973357022</v>
      </c>
      <c r="BX9">
        <f>BX10-BX6-BX7-BX8</f>
        <v>125</v>
      </c>
      <c r="BY9">
        <f>BW9/BX9</f>
        <v>49.750606378685617</v>
      </c>
      <c r="CD9" s="49" t="str">
        <v/>
      </c>
      <c r="CE9" s="49">
        <v>20.6</v>
      </c>
      <c r="CF9" s="49">
        <v>14.6</v>
      </c>
      <c r="CI9" s="62" t="s">
        <v>14</v>
      </c>
      <c r="CJ9">
        <v>19.73142857142857</v>
      </c>
      <c r="CK9">
        <v>19.612307692307692</v>
      </c>
      <c r="CL9">
        <v>19.674074074074074</v>
      </c>
      <c r="CO9" s="70" t="s">
        <v>80</v>
      </c>
      <c r="CP9" s="71">
        <v>70</v>
      </c>
      <c r="CQ9" s="71">
        <v>65</v>
      </c>
      <c r="CR9" s="71">
        <v>135</v>
      </c>
      <c r="CS9" s="71"/>
      <c r="CT9" s="72">
        <v>43.3</v>
      </c>
      <c r="CU9" s="72">
        <v>45.92307692307692</v>
      </c>
      <c r="CV9" s="72">
        <v>44.562962962962963</v>
      </c>
      <c r="CW9" s="72">
        <v>21.233999999999998</v>
      </c>
      <c r="CX9" s="72">
        <v>21.827999999999992</v>
      </c>
      <c r="CY9" s="72">
        <v>21.52</v>
      </c>
      <c r="CZ9" s="72"/>
      <c r="DA9" s="72"/>
      <c r="DB9" s="72">
        <v>21.556428571428572</v>
      </c>
      <c r="DC9" s="72">
        <v>23.155384615384619</v>
      </c>
      <c r="DD9" s="72">
        <v>22.326296296296299</v>
      </c>
      <c r="DE9" s="72"/>
      <c r="DF9" s="72"/>
    </row>
    <row r="10" spans="1:110">
      <c r="A10">
        <v>9</v>
      </c>
      <c r="B10" t="s">
        <v>93</v>
      </c>
      <c r="C10">
        <v>9</v>
      </c>
      <c r="D10">
        <v>1</v>
      </c>
      <c r="E10">
        <v>25</v>
      </c>
      <c r="F10" t="s">
        <v>11</v>
      </c>
      <c r="G10">
        <v>22</v>
      </c>
      <c r="H10">
        <v>22.3</v>
      </c>
      <c r="BJ10">
        <v>1</v>
      </c>
      <c r="BK10">
        <v>29</v>
      </c>
      <c r="BL10" t="s">
        <v>11</v>
      </c>
      <c r="BM10">
        <v>1</v>
      </c>
      <c r="BN10">
        <v>14.4</v>
      </c>
      <c r="BO10">
        <v>14.4</v>
      </c>
      <c r="BQ10" t="str">
        <v>III BAJO</v>
      </c>
      <c r="BR10" s="56">
        <f t="array" ref="BR10">COUNTIFS($BL$2:$BL$136,$BQ10,$BM$2:$BM$136,BR$5)</f>
        <v>17</v>
      </c>
      <c r="BS10" s="58">
        <f t="array" ref="BS10">COUNTIFS($BL$2:$BL$136,$BQ10,$BM$2:$BM$136,BS$5)</f>
        <v>10</v>
      </c>
      <c r="BT10">
        <f t="array" ref="BT10">SUM(BR10:BS10)</f>
        <v>27</v>
      </c>
      <c r="BV10" s="41" t="s">
        <v>26</v>
      </c>
      <c r="BW10" s="41">
        <f>BY10*BX10</f>
        <v>10710.074348148177</v>
      </c>
      <c r="BX10" s="41">
        <f>BT11-1</f>
        <v>134</v>
      </c>
      <c r="BY10" s="41">
        <f>BT29</f>
        <v>79.925927971255049</v>
      </c>
      <c r="BZ10" s="41"/>
      <c r="CA10" s="41"/>
      <c r="CB10" s="41"/>
      <c r="CD10" s="49" t="str">
        <v/>
      </c>
      <c r="CE10" s="49">
        <v>20.399999999999999</v>
      </c>
      <c r="CF10" s="49">
        <v>15.4</v>
      </c>
      <c r="CI10" s="62" t="s">
        <v>15</v>
      </c>
      <c r="CJ10">
        <v>17.749411764705886</v>
      </c>
      <c r="CK10">
        <v>25.580000000000002</v>
      </c>
      <c r="CL10">
        <v>20.649629629629633</v>
      </c>
    </row>
    <row r="11" spans="1:110">
      <c r="A11">
        <v>10</v>
      </c>
      <c r="B11" t="s">
        <v>94</v>
      </c>
      <c r="C11">
        <v>10</v>
      </c>
      <c r="D11">
        <v>2</v>
      </c>
      <c r="E11">
        <v>66</v>
      </c>
      <c r="F11" t="s">
        <v>11</v>
      </c>
      <c r="G11">
        <v>16.100000000000001</v>
      </c>
      <c r="H11">
        <v>15.4</v>
      </c>
      <c r="BJ11">
        <v>1</v>
      </c>
      <c r="BK11">
        <v>34</v>
      </c>
      <c r="BL11" t="s">
        <v>11</v>
      </c>
      <c r="BM11">
        <v>1</v>
      </c>
      <c r="BN11">
        <v>16.3</v>
      </c>
      <c r="BO11">
        <v>16.3</v>
      </c>
      <c r="BR11">
        <f t="array" ref="BR11">SUM(BR6:BR10)</f>
        <v>70</v>
      </c>
      <c r="BS11">
        <f t="array" ref="BS11">SUM(BS6:BS10)</f>
        <v>65</v>
      </c>
      <c r="BT11">
        <f t="array" ref="BT11">SUM(BT6:BT10)</f>
        <v>135</v>
      </c>
      <c r="CD11" s="49" t="str">
        <v/>
      </c>
      <c r="CE11" s="49">
        <v>16.7</v>
      </c>
      <c r="CF11" s="49">
        <v>18.2</v>
      </c>
      <c r="CI11" s="62" t="s">
        <v>80</v>
      </c>
      <c r="CJ11">
        <v>21.556428571428572</v>
      </c>
      <c r="CK11">
        <v>23.155384615384619</v>
      </c>
      <c r="CL11">
        <v>22.326296296296299</v>
      </c>
    </row>
    <row r="12" spans="1:110">
      <c r="A12">
        <v>11</v>
      </c>
      <c r="B12" t="s">
        <v>95</v>
      </c>
      <c r="C12">
        <v>11</v>
      </c>
      <c r="D12">
        <v>2</v>
      </c>
      <c r="E12">
        <v>40</v>
      </c>
      <c r="F12" t="s">
        <v>11</v>
      </c>
      <c r="G12">
        <v>18.5</v>
      </c>
      <c r="H12">
        <v>18.2</v>
      </c>
      <c r="BJ12">
        <v>1</v>
      </c>
      <c r="BK12">
        <v>51</v>
      </c>
      <c r="BL12" t="s">
        <v>11</v>
      </c>
      <c r="BM12">
        <v>1</v>
      </c>
      <c r="BN12">
        <v>15.2</v>
      </c>
      <c r="BO12">
        <v>15.2</v>
      </c>
      <c r="CD12" s="49" t="str">
        <v/>
      </c>
      <c r="CE12" s="49">
        <v>22.4</v>
      </c>
      <c r="CF12" s="49">
        <v>15.2</v>
      </c>
      <c r="CO12" t="s">
        <v>96</v>
      </c>
    </row>
    <row r="13" spans="1:110">
      <c r="A13">
        <v>12</v>
      </c>
      <c r="B13" t="s">
        <v>97</v>
      </c>
      <c r="C13">
        <v>12</v>
      </c>
      <c r="D13">
        <v>2</v>
      </c>
      <c r="E13">
        <v>38</v>
      </c>
      <c r="F13" t="s">
        <v>11</v>
      </c>
      <c r="G13">
        <v>14.6</v>
      </c>
      <c r="H13">
        <v>15.2</v>
      </c>
      <c r="R13" t="s">
        <v>98</v>
      </c>
      <c r="U13" t="s">
        <v>99</v>
      </c>
      <c r="X13" t="s">
        <v>38</v>
      </c>
      <c r="AH13" t="s">
        <v>100</v>
      </c>
      <c r="AN13" t="s">
        <v>101</v>
      </c>
      <c r="AQ13" t="s">
        <v>102</v>
      </c>
      <c r="BJ13">
        <v>1</v>
      </c>
      <c r="BK13">
        <v>67</v>
      </c>
      <c r="BL13" t="s">
        <v>11</v>
      </c>
      <c r="BM13">
        <v>1</v>
      </c>
      <c r="BN13">
        <v>10.5</v>
      </c>
      <c r="BO13">
        <v>10.5</v>
      </c>
      <c r="BQ13" t="s">
        <v>103</v>
      </c>
      <c r="CD13" s="49" t="str">
        <v/>
      </c>
      <c r="CE13" s="49">
        <v>14.4</v>
      </c>
      <c r="CF13" s="49">
        <v>24.5</v>
      </c>
    </row>
    <row r="14" spans="1:110" ht="15.75" thickBot="1">
      <c r="A14">
        <v>13</v>
      </c>
      <c r="B14" t="s">
        <v>104</v>
      </c>
      <c r="C14">
        <v>13</v>
      </c>
      <c r="D14">
        <v>1</v>
      </c>
      <c r="E14">
        <v>19</v>
      </c>
      <c r="F14" t="s">
        <v>11</v>
      </c>
      <c r="G14">
        <v>20.8</v>
      </c>
      <c r="H14">
        <v>20.6</v>
      </c>
      <c r="BJ14">
        <v>2</v>
      </c>
      <c r="BK14">
        <v>60</v>
      </c>
      <c r="BL14" t="s">
        <v>11</v>
      </c>
      <c r="BM14">
        <v>2</v>
      </c>
      <c r="BN14">
        <v>18</v>
      </c>
      <c r="BO14">
        <v>18</v>
      </c>
      <c r="BR14">
        <f t="array" ref="BR14:BS14">TRANSPOSE([1]!SortUnique(BM2:BM136))</f>
        <v>1</v>
      </c>
      <c r="BS14">
        <v>2</v>
      </c>
      <c r="CD14" s="49" t="str">
        <v/>
      </c>
      <c r="CE14" s="49">
        <v>16.3</v>
      </c>
      <c r="CF14" s="49">
        <v>21.5</v>
      </c>
      <c r="CO14" t="s">
        <v>105</v>
      </c>
      <c r="CP14" s="48">
        <v>27</v>
      </c>
    </row>
    <row r="15" spans="1:110" ht="15.75" thickTop="1">
      <c r="A15">
        <v>14</v>
      </c>
      <c r="B15" t="s">
        <v>106</v>
      </c>
      <c r="C15">
        <v>14</v>
      </c>
      <c r="D15">
        <v>2</v>
      </c>
      <c r="E15">
        <v>48</v>
      </c>
      <c r="F15" t="s">
        <v>11</v>
      </c>
      <c r="G15">
        <v>23</v>
      </c>
      <c r="H15">
        <v>24.5</v>
      </c>
      <c r="J15" s="59"/>
      <c r="K15" s="59" t="s">
        <v>107</v>
      </c>
      <c r="L15" s="59" t="s">
        <v>78</v>
      </c>
      <c r="M15" s="59" t="s">
        <v>108</v>
      </c>
      <c r="N15" s="59" t="s">
        <v>109</v>
      </c>
      <c r="O15" s="59" t="s">
        <v>23</v>
      </c>
      <c r="P15" s="59" t="s">
        <v>110</v>
      </c>
      <c r="R15" t="s">
        <v>111</v>
      </c>
      <c r="U15" t="s">
        <v>11</v>
      </c>
      <c r="X15" t="s">
        <v>112</v>
      </c>
      <c r="AA15" t="str">
        <f>G1</f>
        <v>ang der</v>
      </c>
      <c r="AH15" s="10" t="s">
        <v>113</v>
      </c>
      <c r="AI15" s="10" t="s">
        <v>23</v>
      </c>
      <c r="AK15" t="s">
        <v>114</v>
      </c>
      <c r="AN15" t="s">
        <v>115</v>
      </c>
      <c r="AO15" s="48">
        <f>[1]!BOXM(F2:H136)</f>
        <v>80.132932017900913</v>
      </c>
      <c r="AR15" s="10" t="str">
        <f t="array" ref="AR15:AS15">$G$1:$H$1</f>
        <v>ang der</v>
      </c>
      <c r="AS15" s="10" t="str">
        <v>ang izq</v>
      </c>
      <c r="AT15" s="10" t="s">
        <v>116</v>
      </c>
      <c r="AV15" s="10" t="s">
        <v>117</v>
      </c>
      <c r="AX15" t="s">
        <v>118</v>
      </c>
      <c r="BA15" t="s">
        <v>119</v>
      </c>
      <c r="BB15" s="48">
        <f>MDETERM(AX20:AY21)/MDETERM(AX16:AY17+AX20:AY21)</f>
        <v>0.33200179379512329</v>
      </c>
      <c r="BJ15">
        <v>2</v>
      </c>
      <c r="BK15">
        <v>47</v>
      </c>
      <c r="BL15" t="s">
        <v>11</v>
      </c>
      <c r="BM15">
        <v>2</v>
      </c>
      <c r="BN15">
        <v>19</v>
      </c>
      <c r="BO15">
        <v>19</v>
      </c>
      <c r="BQ15" t="str">
        <f t="array" ref="BQ15:BQ19">[1]!SortUnique(BL2:BL136)</f>
        <v>I</v>
      </c>
      <c r="BR15" s="51">
        <f t="array" ref="BR15">AVERAGEIFS($BN$2:$BN$136,$BL$2:$BL$136,$BQ15,$BM$2:$BM$136,BR$14)</f>
        <v>17.358333333333334</v>
      </c>
      <c r="BS15" s="53">
        <f t="array" ref="BS15">AVERAGEIFS($BN$2:$BN$136,$BL$2:$BL$136,$BQ15,$BM$2:$BM$136,BS$14)</f>
        <v>16.993333333333332</v>
      </c>
      <c r="BT15">
        <f t="array" ref="BT15">AVERAGE(BR15:BS15)</f>
        <v>17.175833333333333</v>
      </c>
      <c r="CD15" s="49" t="str">
        <v/>
      </c>
      <c r="CE15" s="49">
        <v>15.2</v>
      </c>
      <c r="CF15" s="49">
        <v>16.100000000000001</v>
      </c>
      <c r="CI15" t="s">
        <v>48</v>
      </c>
      <c r="CJ15" t="s">
        <v>23</v>
      </c>
      <c r="CO15" t="s">
        <v>120</v>
      </c>
      <c r="CP15" s="49">
        <v>14</v>
      </c>
    </row>
    <row r="16" spans="1:110">
      <c r="A16">
        <v>15</v>
      </c>
      <c r="B16" t="s">
        <v>121</v>
      </c>
      <c r="C16">
        <v>15</v>
      </c>
      <c r="D16">
        <v>1</v>
      </c>
      <c r="E16">
        <v>59</v>
      </c>
      <c r="F16" t="s">
        <v>11</v>
      </c>
      <c r="G16">
        <v>19.3</v>
      </c>
      <c r="H16">
        <v>20.399999999999999</v>
      </c>
      <c r="J16" t="s">
        <v>27</v>
      </c>
      <c r="K16">
        <f>[1]!MANOVA_PillaiTrace(F2:H136)</f>
        <v>0.31896862935701376</v>
      </c>
      <c r="L16">
        <f>[1]!MANOVA_PillaiF(F2:H136)</f>
        <v>6.1667382507786392</v>
      </c>
      <c r="M16">
        <f>[1]!MANOVA_Pillaidf1(F2:H136)</f>
        <v>8</v>
      </c>
      <c r="N16">
        <f>[1]!MANOVA_Pillaidf2(F2:H136)</f>
        <v>260</v>
      </c>
      <c r="O16">
        <f>[1]!F_DIST_RT(L16,M16,N16)</f>
        <v>2.7290289206227669E-7</v>
      </c>
      <c r="P16">
        <f>L16*M16/(L16*M16+N16)</f>
        <v>0.15948431467850691</v>
      </c>
      <c r="R16" s="51">
        <f t="array" ref="R16:S17">[1]!COVP(G2:H136)*COUNT(G2:G136)</f>
        <v>12350.1032</v>
      </c>
      <c r="S16" s="53">
        <v>8616.9726999999984</v>
      </c>
      <c r="U16" s="51">
        <f t="array" ref="U16:V17">[1]!ExtractCov(F2:H136,U15)</f>
        <v>13.484102564102566</v>
      </c>
      <c r="V16" s="53">
        <v>16.057820512820513</v>
      </c>
      <c r="AH16" s="51">
        <f t="array" ref="AH16">MMULT(G2:H2-$AK$24:$AL$24,MMULT($AK$20:$AL$21,TRANSPOSE(G2:H2-$AK$24:$AL$24)))</f>
        <v>0.25824502922071346</v>
      </c>
      <c r="AI16" s="53">
        <f t="shared" ref="AI16:AI47" si="0">_xlfn.CHISQ.DIST.RT(AH16,COUNT($G$2:$H$2))</f>
        <v>0.87886628498903607</v>
      </c>
      <c r="AJ16" s="62" t="str">
        <f t="shared" ref="AJ16:AJ47" si="1">IF(AI16&lt;0.001,"*","")</f>
        <v/>
      </c>
      <c r="AK16" s="51">
        <f t="array" ref="AK16:AL17">[1]!COV(G2:H136)</f>
        <v>92.164949253731336</v>
      </c>
      <c r="AL16" s="53">
        <v>64.305766417910434</v>
      </c>
      <c r="AN16" t="s">
        <v>78</v>
      </c>
      <c r="AO16" s="49">
        <f>[1]!BOXF(F2:H136)</f>
        <v>6.4545131181771058</v>
      </c>
      <c r="AQ16" t="s">
        <v>11</v>
      </c>
      <c r="AR16" s="51">
        <f t="shared" ref="AR16:AS20" si="2">AVERAGEIF($F$2:$F$136,$AQ16,G$2:G$136)</f>
        <v>17.477777777777778</v>
      </c>
      <c r="AS16" s="53">
        <f t="shared" si="2"/>
        <v>17.155555555555555</v>
      </c>
      <c r="AT16" s="48">
        <f>COUNTIF($F$2:$F$136,AQ16)</f>
        <v>27</v>
      </c>
      <c r="AV16" s="64"/>
      <c r="AX16" s="51">
        <f t="array" ref="AX16:AY17">MMULT(TRANSPOSE(AR24:AS24),AR24:AS24)/AT23</f>
        <v>12685.835648148155</v>
      </c>
      <c r="AY16" s="53">
        <v>13745.354907407411</v>
      </c>
      <c r="BA16" t="s">
        <v>122</v>
      </c>
      <c r="BB16" s="49">
        <f>COUNT($G$2:$G$136)</f>
        <v>135</v>
      </c>
      <c r="BJ16">
        <v>2</v>
      </c>
      <c r="BK16">
        <v>46</v>
      </c>
      <c r="BL16" t="s">
        <v>11</v>
      </c>
      <c r="BM16">
        <v>2</v>
      </c>
      <c r="BN16">
        <v>14</v>
      </c>
      <c r="BO16">
        <v>14</v>
      </c>
      <c r="BQ16" t="str">
        <v>II ALTO</v>
      </c>
      <c r="BR16" s="54">
        <f t="array" ref="BR16">AVERAGEIFS($BN$2:$BN$136,$BL$2:$BL$136,$BQ16,$BM$2:$BM$136,BR$14)</f>
        <v>30.084999999999997</v>
      </c>
      <c r="BS16" s="55">
        <f t="array" ref="BS16">AVERAGEIFS($BN$2:$BN$136,$BL$2:$BL$136,$BQ16,$BM$2:$BM$136,BS$14)</f>
        <v>31.00764705882353</v>
      </c>
      <c r="BT16">
        <f t="array" ref="BT16">AVERAGE(BR16:BS16)</f>
        <v>30.546323529411765</v>
      </c>
      <c r="CD16" s="49" t="str">
        <v/>
      </c>
      <c r="CE16" s="49">
        <v>10.5</v>
      </c>
      <c r="CF16" s="49">
        <v>0.6</v>
      </c>
      <c r="CI16" t="s">
        <v>49</v>
      </c>
      <c r="CJ16">
        <v>1.2952684831700207E-8</v>
      </c>
      <c r="CO16" t="s">
        <v>123</v>
      </c>
      <c r="CP16" s="49">
        <v>27</v>
      </c>
    </row>
    <row r="17" spans="1:94" ht="15.75" thickBot="1">
      <c r="A17">
        <v>16</v>
      </c>
      <c r="B17" t="s">
        <v>124</v>
      </c>
      <c r="C17">
        <v>16</v>
      </c>
      <c r="D17">
        <v>1</v>
      </c>
      <c r="E17">
        <v>26</v>
      </c>
      <c r="F17" t="s">
        <v>11</v>
      </c>
      <c r="G17">
        <v>16.600000000000001</v>
      </c>
      <c r="H17">
        <v>16.7</v>
      </c>
      <c r="J17" t="s">
        <v>31</v>
      </c>
      <c r="K17">
        <f>[1]!MANOVA_WilksLambda(F2:H136)</f>
        <v>0.6887066778101234</v>
      </c>
      <c r="L17">
        <f>[1]!MANOVA_WilksF(F2:H136)</f>
        <v>6.6108747253128737</v>
      </c>
      <c r="M17">
        <f>[1]!MANOVA_Wilksdf1(F2:H136)</f>
        <v>8</v>
      </c>
      <c r="N17">
        <f>[1]!MANOVA_Wilksdf2(F2:H136)</f>
        <v>258</v>
      </c>
      <c r="O17">
        <f>[1]!F_DIST_RT(L17,M17,N17)</f>
        <v>7.3926304855476133E-8</v>
      </c>
      <c r="P17">
        <f>L17*M17/(L17*M17+N17)</f>
        <v>0.17011646732199615</v>
      </c>
      <c r="R17" s="56">
        <v>8616.9726999999984</v>
      </c>
      <c r="S17" s="58">
        <v>10710.074348148151</v>
      </c>
      <c r="U17" s="56">
        <v>16.057820512820513</v>
      </c>
      <c r="V17" s="58">
        <v>22.037948717948716</v>
      </c>
      <c r="X17" t="s">
        <v>125</v>
      </c>
      <c r="AC17" t="s">
        <v>70</v>
      </c>
      <c r="AD17">
        <v>2.5000000000000001E-2</v>
      </c>
      <c r="AH17" s="54">
        <f t="array" ref="AH17">MMULT(G3:H3-$AK$24:$AL$24,MMULT($AK$20:$AL$21,TRANSPOSE(G3:H3-$AK$24:$AL$24)))</f>
        <v>0.25701195361795437</v>
      </c>
      <c r="AI17" s="55">
        <f t="shared" si="0"/>
        <v>0.87940830634724865</v>
      </c>
      <c r="AJ17" s="62" t="str">
        <f t="shared" si="1"/>
        <v/>
      </c>
      <c r="AK17" s="56">
        <v>64.305766417910434</v>
      </c>
      <c r="AL17" s="58">
        <v>79.925927971254865</v>
      </c>
      <c r="AN17" t="s">
        <v>108</v>
      </c>
      <c r="AO17" s="49">
        <f>[1]!BOXdf1(F2:H136)</f>
        <v>12</v>
      </c>
      <c r="AQ17" t="s">
        <v>12</v>
      </c>
      <c r="AR17" s="54">
        <f t="shared" si="2"/>
        <v>30.349259259259252</v>
      </c>
      <c r="AS17" s="55">
        <f t="shared" si="2"/>
        <v>30.665925925925922</v>
      </c>
      <c r="AT17" s="49">
        <f>COUNTIF($F$2:$F$136,AQ17)</f>
        <v>27</v>
      </c>
      <c r="AV17" s="65"/>
      <c r="AX17" s="56">
        <v>13745.354907407411</v>
      </c>
      <c r="AY17" s="58">
        <v>14893.36507037037</v>
      </c>
      <c r="BA17" t="s">
        <v>126</v>
      </c>
      <c r="BB17" s="49">
        <f>COUNT($G$2:$H$2)</f>
        <v>2</v>
      </c>
      <c r="BJ17">
        <v>2</v>
      </c>
      <c r="BK17">
        <v>53</v>
      </c>
      <c r="BL17" t="s">
        <v>11</v>
      </c>
      <c r="BM17">
        <v>2</v>
      </c>
      <c r="BN17">
        <v>20.9</v>
      </c>
      <c r="BO17">
        <v>20.9</v>
      </c>
      <c r="BQ17" t="str">
        <v>II BAJO</v>
      </c>
      <c r="BR17" s="54">
        <f t="array" ref="BR17">AVERAGEIFS($BN$2:$BN$136,$BL$2:$BL$136,$BQ17,$BM$2:$BM$136,BR$14)</f>
        <v>24.812941176470595</v>
      </c>
      <c r="BS17" s="55">
        <f t="array" ref="BS17">AVERAGEIFS($BN$2:$BN$136,$BL$2:$BL$136,$BQ17,$BM$2:$BM$136,BS$14)</f>
        <v>21.231000000000002</v>
      </c>
      <c r="BT17">
        <f t="array" ref="BT17">AVERAGE(BR17:BS17)</f>
        <v>23.021970588235298</v>
      </c>
      <c r="CD17" s="49" t="str">
        <v/>
      </c>
      <c r="CE17" s="49" t="str">
        <v/>
      </c>
      <c r="CF17" s="49">
        <v>23.1</v>
      </c>
      <c r="CI17" t="s">
        <v>50</v>
      </c>
      <c r="CJ17">
        <v>0.86421827956805053</v>
      </c>
      <c r="CO17" t="s">
        <v>127</v>
      </c>
      <c r="CP17" s="49">
        <v>13</v>
      </c>
    </row>
    <row r="18" spans="1:94" ht="15.75" thickTop="1">
      <c r="A18">
        <v>17</v>
      </c>
      <c r="B18" t="s">
        <v>128</v>
      </c>
      <c r="C18">
        <v>17</v>
      </c>
      <c r="D18">
        <v>2</v>
      </c>
      <c r="E18">
        <v>50</v>
      </c>
      <c r="F18" t="s">
        <v>11</v>
      </c>
      <c r="G18">
        <v>21.5</v>
      </c>
      <c r="H18">
        <v>21.5</v>
      </c>
      <c r="J18" t="s">
        <v>35</v>
      </c>
      <c r="K18">
        <f>[1]!MANOVA_HotelTrace(F2:H136)</f>
        <v>0.44085243370683141</v>
      </c>
      <c r="L18">
        <f>[1]!MANOVA_HotelF(F2:H136)</f>
        <v>7.0536389393093026</v>
      </c>
      <c r="M18">
        <f>[1]!MANOVA_Hoteldf1(F2:H136)</f>
        <v>8</v>
      </c>
      <c r="N18">
        <f>[1]!MANOVA_Hoteldf2(F2:H136)</f>
        <v>256</v>
      </c>
      <c r="O18">
        <f>[1]!F_DIST_RT(L18,M18,N18)</f>
        <v>2.0275686907211821E-8</v>
      </c>
      <c r="P18">
        <f>L18*M18/(L18*M18+N18)</f>
        <v>0.18061412792469608</v>
      </c>
      <c r="X18" s="59" t="s">
        <v>40</v>
      </c>
      <c r="Y18" s="59" t="s">
        <v>116</v>
      </c>
      <c r="Z18" s="59" t="s">
        <v>129</v>
      </c>
      <c r="AA18" s="59" t="s">
        <v>4</v>
      </c>
      <c r="AB18" s="59" t="s">
        <v>130</v>
      </c>
      <c r="AC18" s="59" t="s">
        <v>75</v>
      </c>
      <c r="AD18" s="59" t="s">
        <v>131</v>
      </c>
      <c r="AE18" s="59" t="s">
        <v>41</v>
      </c>
      <c r="AF18" s="59" t="s">
        <v>42</v>
      </c>
      <c r="AH18" s="54">
        <f t="array" ref="AH18">MMULT(G4:H4-$AK$24:$AL$24,MMULT($AK$20:$AL$21,TRANSPOSE(G4:H4-$AK$24:$AL$24)))</f>
        <v>0.1435799517056438</v>
      </c>
      <c r="AI18" s="55">
        <f t="shared" si="0"/>
        <v>0.93072635029338335</v>
      </c>
      <c r="AJ18" s="62" t="str">
        <f t="shared" si="1"/>
        <v/>
      </c>
      <c r="AN18" t="s">
        <v>109</v>
      </c>
      <c r="AO18" s="49">
        <f>[1]!BOXdf2(F2:H136)</f>
        <v>125258.82352941181</v>
      </c>
      <c r="AQ18" t="s">
        <v>13</v>
      </c>
      <c r="AR18" s="54">
        <f t="shared" si="2"/>
        <v>21.675925925925931</v>
      </c>
      <c r="AS18" s="55">
        <f t="shared" si="2"/>
        <v>23.486296296296295</v>
      </c>
      <c r="AT18" s="49">
        <f>COUNTIF($F$2:$F$136,AQ18)</f>
        <v>27</v>
      </c>
      <c r="AV18" s="65">
        <v>1</v>
      </c>
      <c r="BA18" t="s">
        <v>132</v>
      </c>
      <c r="BB18" s="49">
        <f>COUNT(AR16:AR20)</f>
        <v>5</v>
      </c>
      <c r="BJ18">
        <v>2</v>
      </c>
      <c r="BK18">
        <v>32</v>
      </c>
      <c r="BL18" t="s">
        <v>11</v>
      </c>
      <c r="BM18">
        <v>2</v>
      </c>
      <c r="BN18">
        <v>14.6</v>
      </c>
      <c r="BO18">
        <v>14.6</v>
      </c>
      <c r="BQ18" t="str">
        <v>III ALTO</v>
      </c>
      <c r="BR18" s="54">
        <f t="array" ref="BR18">AVERAGEIFS($BN$2:$BN$136,$BL$2:$BL$136,$BQ18,$BM$2:$BM$136,BR$14)</f>
        <v>19.73142857142857</v>
      </c>
      <c r="BS18" s="55">
        <f t="array" ref="BS18">AVERAGEIFS($BN$2:$BN$136,$BL$2:$BL$136,$BQ18,$BM$2:$BM$136,BS$14)</f>
        <v>19.612307692307692</v>
      </c>
      <c r="BT18">
        <f t="array" ref="BT18">AVERAGE(BR18:BS18)</f>
        <v>19.671868131868131</v>
      </c>
      <c r="CD18" s="49" t="str">
        <v/>
      </c>
      <c r="CE18" s="49" t="str">
        <v/>
      </c>
      <c r="CF18" s="49">
        <v>18.3</v>
      </c>
      <c r="CO18" t="s">
        <v>133</v>
      </c>
      <c r="CP18" s="49">
        <v>2</v>
      </c>
    </row>
    <row r="19" spans="1:94">
      <c r="A19">
        <v>18</v>
      </c>
      <c r="B19" t="s">
        <v>134</v>
      </c>
      <c r="C19">
        <v>18</v>
      </c>
      <c r="D19">
        <v>1</v>
      </c>
      <c r="E19">
        <v>32</v>
      </c>
      <c r="F19" t="s">
        <v>11</v>
      </c>
      <c r="G19">
        <v>21</v>
      </c>
      <c r="H19">
        <v>22.4</v>
      </c>
      <c r="J19" s="41" t="s">
        <v>135</v>
      </c>
      <c r="K19" s="41">
        <f>[1]!MANOVA_RoyRoot(F2:H136)</f>
        <v>0.41392865722705685</v>
      </c>
      <c r="L19" s="41"/>
      <c r="M19" s="41"/>
      <c r="N19" s="41"/>
      <c r="O19" s="41"/>
      <c r="P19" s="41"/>
      <c r="R19" t="s">
        <v>136</v>
      </c>
      <c r="U19" t="s">
        <v>12</v>
      </c>
      <c r="X19" t="str">
        <f t="array" ref="X19:X23">[1]!SortUnique(F2:F136)</f>
        <v>I</v>
      </c>
      <c r="Y19">
        <f>COUNTIF($F$2:$F$136,$X19)</f>
        <v>27</v>
      </c>
      <c r="Z19">
        <f>SUMIF($F$2:$F$136,$X19,$G$2:$G$136)</f>
        <v>471.9</v>
      </c>
      <c r="AA19">
        <f>AVERAGEIF($F$2:$F$136,$X19,$G$2:$G$136)</f>
        <v>17.477777777777778</v>
      </c>
      <c r="AB19">
        <f t="array" ref="AB19">_xlfn.VAR.S(IF($F$2:$F$136=$X19,$G$2:$G$136))</f>
        <v>13.484102564102683</v>
      </c>
      <c r="AC19">
        <f>($Y19-1)*AB19</f>
        <v>350.58666666666977</v>
      </c>
      <c r="AD19">
        <f>SQRT(AA$28/Y19)</f>
        <v>1.6291683004098947</v>
      </c>
      <c r="AE19">
        <f>AA19-AD19*_xlfn.T.INV.2T(AD$17,Z$28)</f>
        <v>13.783377902400435</v>
      </c>
      <c r="AF19">
        <f>AA19+AD19*_xlfn.T.INV.2T(AD$17,Z$28)</f>
        <v>21.172177653155121</v>
      </c>
      <c r="AH19" s="54">
        <f t="array" ref="AH19">MMULT(G5:H5-$AK$24:$AL$24,MMULT($AK$20:$AL$21,TRANSPOSE(G5:H5-$AK$24:$AL$24)))</f>
        <v>0.88837257628359878</v>
      </c>
      <c r="AI19" s="55">
        <f t="shared" si="0"/>
        <v>0.64134593455582867</v>
      </c>
      <c r="AJ19" s="62" t="str">
        <f t="shared" si="1"/>
        <v/>
      </c>
      <c r="AK19" t="s">
        <v>137</v>
      </c>
      <c r="AN19" t="s">
        <v>23</v>
      </c>
      <c r="AO19" s="50">
        <f>[1]!BOXTEST(F2:H136)</f>
        <v>1.2552403561016945E-11</v>
      </c>
      <c r="AQ19" t="s">
        <v>14</v>
      </c>
      <c r="AR19" s="54">
        <f t="shared" si="2"/>
        <v>17.341111111111111</v>
      </c>
      <c r="AS19" s="55">
        <f t="shared" si="2"/>
        <v>19.674074074074074</v>
      </c>
      <c r="AT19" s="49">
        <f>COUNTIF($F$2:$F$136,AQ19)</f>
        <v>27</v>
      </c>
      <c r="AV19" s="65"/>
      <c r="AX19" t="s">
        <v>138</v>
      </c>
      <c r="BA19" t="s">
        <v>108</v>
      </c>
      <c r="BB19" s="49">
        <f>BB17</f>
        <v>2</v>
      </c>
      <c r="BJ19">
        <v>2</v>
      </c>
      <c r="BK19">
        <v>66</v>
      </c>
      <c r="BL19" t="s">
        <v>11</v>
      </c>
      <c r="BM19">
        <v>2</v>
      </c>
      <c r="BN19">
        <v>15.4</v>
      </c>
      <c r="BO19">
        <v>15.4</v>
      </c>
      <c r="BQ19" t="str">
        <v>III BAJO</v>
      </c>
      <c r="BR19" s="56">
        <f t="array" ref="BR19">AVERAGEIFS($BN$2:$BN$136,$BL$2:$BL$136,$BQ19,$BM$2:$BM$136,BR$14)</f>
        <v>17.749411764705886</v>
      </c>
      <c r="BS19" s="58">
        <f t="array" ref="BS19">AVERAGEIFS($BN$2:$BN$136,$BL$2:$BL$136,$BQ19,$BM$2:$BM$136,BS$14)</f>
        <v>25.580000000000002</v>
      </c>
      <c r="BT19">
        <f t="array" ref="BT19">AVERAGE(BR19:BS19)</f>
        <v>21.664705882352944</v>
      </c>
      <c r="CD19" s="49" t="str">
        <v/>
      </c>
      <c r="CE19" s="49" t="str">
        <v/>
      </c>
      <c r="CF19" s="49">
        <v>15.5</v>
      </c>
      <c r="CO19" t="s">
        <v>70</v>
      </c>
      <c r="CP19" s="50">
        <v>0.05</v>
      </c>
    </row>
    <row r="20" spans="1:94">
      <c r="A20">
        <v>19</v>
      </c>
      <c r="B20" t="s">
        <v>139</v>
      </c>
      <c r="C20">
        <v>19</v>
      </c>
      <c r="D20">
        <v>2</v>
      </c>
      <c r="E20">
        <v>48</v>
      </c>
      <c r="F20" t="s">
        <v>11</v>
      </c>
      <c r="G20">
        <v>15.9</v>
      </c>
      <c r="H20">
        <v>16.100000000000001</v>
      </c>
      <c r="R20" s="51">
        <f t="array" ref="R20:S21">R16:S17-R24:S25</f>
        <v>3033.898577777778</v>
      </c>
      <c r="S20" s="53">
        <v>2891.142418518516</v>
      </c>
      <c r="U20" s="51">
        <f t="array" ref="U20:V21">[1]!ExtractCov(F2:H136,U19)</f>
        <v>91.636468660968646</v>
      </c>
      <c r="V20" s="53">
        <v>31.936204558404558</v>
      </c>
      <c r="X20" t="str">
        <v>II ALTO</v>
      </c>
      <c r="Y20">
        <f>COUNTIF($F$2:$F$136,$X20)</f>
        <v>27</v>
      </c>
      <c r="Z20">
        <f>SUMIF($F$2:$F$136,$X20,$G$2:$G$136)</f>
        <v>819.42999999999984</v>
      </c>
      <c r="AA20">
        <f>AVERAGEIF($F$2:$F$136,$X20,$G$2:$G$136)</f>
        <v>30.349259259259252</v>
      </c>
      <c r="AB20">
        <f t="array" ref="AB20">_xlfn.VAR.S(IF($F$2:$F$136=$X20,$G$2:$G$136))</f>
        <v>91.636468660969157</v>
      </c>
      <c r="AC20">
        <f>($Y20-1)*AB20</f>
        <v>2382.5481851851982</v>
      </c>
      <c r="AD20">
        <f>SQRT(AA$28/Y20)</f>
        <v>1.6291683004098947</v>
      </c>
      <c r="AE20">
        <f>AA20-AD20*_xlfn.T.INV.2T(AD$17,Z$28)</f>
        <v>26.654859383881909</v>
      </c>
      <c r="AF20">
        <f>AA20+AD20*_xlfn.T.INV.2T(AD$17,Z$28)</f>
        <v>34.043659134636599</v>
      </c>
      <c r="AH20" s="54">
        <f t="array" ref="AH20">MMULT(G6:H6-$AK$24:$AL$24,MMULT($AK$20:$AL$21,TRANSPOSE(G6:H6-$AK$24:$AL$24)))</f>
        <v>5.6901419544914081E-2</v>
      </c>
      <c r="AI20" s="55">
        <f t="shared" si="0"/>
        <v>0.9719502006120152</v>
      </c>
      <c r="AJ20" s="62" t="str">
        <f t="shared" si="1"/>
        <v/>
      </c>
      <c r="AK20" s="51">
        <f t="array" ref="AK20:AL21">MINVERSE(AK16:AL17)</f>
        <v>2.4736158070701189E-2</v>
      </c>
      <c r="AL20" s="53">
        <v>-1.990189721091638E-2</v>
      </c>
      <c r="AQ20" t="s">
        <v>15</v>
      </c>
      <c r="AR20" s="56">
        <f t="shared" si="2"/>
        <v>20.755925925925926</v>
      </c>
      <c r="AS20" s="58">
        <f t="shared" si="2"/>
        <v>20.649629629629629</v>
      </c>
      <c r="AT20" s="50">
        <f>COUNTIF($F$2:$F$136,AQ20)</f>
        <v>27</v>
      </c>
      <c r="AV20" s="66"/>
      <c r="AX20" s="51">
        <f t="array" ref="AX20:AY21">$R$24:$S$25</f>
        <v>9316.2046222222216</v>
      </c>
      <c r="AY20" s="53">
        <v>5725.8302814814824</v>
      </c>
      <c r="BA20" t="s">
        <v>109</v>
      </c>
      <c r="BB20" s="49">
        <f>BB16-BB17-BB18+1</f>
        <v>129</v>
      </c>
      <c r="BJ20">
        <v>2</v>
      </c>
      <c r="BK20">
        <v>40</v>
      </c>
      <c r="BL20" t="s">
        <v>11</v>
      </c>
      <c r="BM20">
        <v>2</v>
      </c>
      <c r="BN20">
        <v>18.2</v>
      </c>
      <c r="BO20">
        <v>18.2</v>
      </c>
      <c r="BR20">
        <f t="array" ref="BR20">AVERAGE(BR15:BR19)</f>
        <v>21.947422969187674</v>
      </c>
      <c r="BS20">
        <f t="array" ref="BS20">AVERAGE(BS15:BS19)</f>
        <v>22.884857616892909</v>
      </c>
      <c r="BT20">
        <f t="array" ref="BT20">AVERAGE(BT15:BT19)</f>
        <v>22.416140293040293</v>
      </c>
      <c r="CD20" s="49" t="str">
        <v/>
      </c>
      <c r="CE20" s="49" t="str">
        <v/>
      </c>
      <c r="CF20" s="49" t="str">
        <v/>
      </c>
    </row>
    <row r="21" spans="1:94">
      <c r="A21">
        <v>20</v>
      </c>
      <c r="B21" t="s">
        <v>140</v>
      </c>
      <c r="C21">
        <v>20</v>
      </c>
      <c r="D21">
        <v>2</v>
      </c>
      <c r="E21">
        <v>44</v>
      </c>
      <c r="F21" t="s">
        <v>11</v>
      </c>
      <c r="G21">
        <v>9.5</v>
      </c>
      <c r="H21">
        <v>0.6</v>
      </c>
      <c r="R21" s="56">
        <v>2891.142418518516</v>
      </c>
      <c r="S21" s="58">
        <v>2901.8810518518549</v>
      </c>
      <c r="U21" s="56">
        <v>31.936204558404558</v>
      </c>
      <c r="V21" s="58">
        <v>59.392309686609693</v>
      </c>
      <c r="X21" t="str">
        <v>II BAJO</v>
      </c>
      <c r="Y21">
        <f>COUNTIF($F$2:$F$136,$X21)</f>
        <v>27</v>
      </c>
      <c r="Z21">
        <f>SUMIF($F$2:$F$136,$X21,$G$2:$G$136)</f>
        <v>585.25000000000011</v>
      </c>
      <c r="AA21">
        <f>AVERAGEIF($F$2:$F$136,$X21,$G$2:$G$136)</f>
        <v>21.675925925925931</v>
      </c>
      <c r="AB21">
        <f t="array" ref="AB21">_xlfn.VAR.S(IF($F$2:$F$136=$X21,$G$2:$G$136))</f>
        <v>76.877671225071026</v>
      </c>
      <c r="AC21">
        <f>($Y21-1)*AB21</f>
        <v>1998.8194518518467</v>
      </c>
      <c r="AD21">
        <f>SQRT(AA$28/Y21)</f>
        <v>1.6291683004098947</v>
      </c>
      <c r="AE21">
        <f>AA21-AD21*_xlfn.T.INV.2T(AD$17,Z$28)</f>
        <v>17.981526050548588</v>
      </c>
      <c r="AF21">
        <f>AA21+AD21*_xlfn.T.INV.2T(AD$17,Z$28)</f>
        <v>25.370325801303274</v>
      </c>
      <c r="AH21" s="54">
        <f t="array" ref="AH21">MMULT(G7:H7-$AK$24:$AL$24,MMULT($AK$20:$AL$21,TRANSPOSE(G7:H7-$AK$24:$AL$24)))</f>
        <v>0.85066873262549436</v>
      </c>
      <c r="AI21" s="55">
        <f t="shared" si="0"/>
        <v>0.65355122307933766</v>
      </c>
      <c r="AJ21" s="62" t="str">
        <f t="shared" si="1"/>
        <v/>
      </c>
      <c r="AK21" s="56">
        <v>-1.9901897210916383E-2</v>
      </c>
      <c r="AL21" s="58">
        <v>2.8523994793509037E-2</v>
      </c>
      <c r="AQ21" t="s">
        <v>26</v>
      </c>
      <c r="AR21" s="60">
        <f>AVERAGE(G$2:G$136)</f>
        <v>21.520000000000003</v>
      </c>
      <c r="AS21" s="61">
        <f>AVERAGE(H$2:H$136)</f>
        <v>22.326296296296288</v>
      </c>
      <c r="AT21" s="63">
        <f>SUM(AT16:AT20)</f>
        <v>135</v>
      </c>
      <c r="AX21" s="56">
        <v>5725.8302814814824</v>
      </c>
      <c r="AY21" s="58">
        <v>7808.1932962962965</v>
      </c>
      <c r="BA21" t="s">
        <v>78</v>
      </c>
      <c r="BB21" s="49">
        <f>(1-BB15)/BB15*(BB20/BB19)</f>
        <v>129.77605876070245</v>
      </c>
      <c r="BJ21">
        <v>2</v>
      </c>
      <c r="BK21">
        <v>38</v>
      </c>
      <c r="BL21" t="s">
        <v>11</v>
      </c>
      <c r="BM21">
        <v>2</v>
      </c>
      <c r="BN21">
        <v>15.2</v>
      </c>
      <c r="BO21">
        <v>15.2</v>
      </c>
      <c r="CD21" s="50" t="str">
        <v/>
      </c>
      <c r="CE21" s="50" t="str">
        <v/>
      </c>
      <c r="CF21" s="50" t="str">
        <v/>
      </c>
      <c r="CO21" t="s">
        <v>141</v>
      </c>
      <c r="CP21" s="48">
        <f>ABS(CP15/CP14-CP17/CP16)</f>
        <v>3.7037037037037035E-2</v>
      </c>
    </row>
    <row r="22" spans="1:94">
      <c r="A22">
        <v>21</v>
      </c>
      <c r="B22" t="s">
        <v>142</v>
      </c>
      <c r="C22">
        <v>21</v>
      </c>
      <c r="D22">
        <v>2</v>
      </c>
      <c r="E22">
        <v>62</v>
      </c>
      <c r="F22" t="s">
        <v>11</v>
      </c>
      <c r="G22">
        <v>24.1</v>
      </c>
      <c r="H22">
        <v>23.1</v>
      </c>
      <c r="X22" t="str">
        <v>III ALTO</v>
      </c>
      <c r="Y22">
        <f>COUNTIF($F$2:$F$136,$X22)</f>
        <v>27</v>
      </c>
      <c r="Z22">
        <f>SUMIF($F$2:$F$136,$X22,$G$2:$G$136)</f>
        <v>468.21</v>
      </c>
      <c r="AA22">
        <f>AVERAGEIF($F$2:$F$136,$X22,$G$2:$G$136)</f>
        <v>17.341111111111111</v>
      </c>
      <c r="AB22">
        <f t="array" ref="AB22">_xlfn.VAR.S(IF($F$2:$F$136=$X22,$G$2:$G$136))</f>
        <v>100.42876410256409</v>
      </c>
      <c r="AC22">
        <f>($Y22-1)*AB22</f>
        <v>2611.1478666666662</v>
      </c>
      <c r="AD22">
        <f>SQRT(AA$28/Y22)</f>
        <v>1.6291683004098947</v>
      </c>
      <c r="AE22">
        <f>AA22-AD22*_xlfn.T.INV.2T(AD$17,Z$28)</f>
        <v>13.646711235733768</v>
      </c>
      <c r="AF22">
        <f>AA22+AD22*_xlfn.T.INV.2T(AD$17,Z$28)</f>
        <v>21.035510986488454</v>
      </c>
      <c r="AH22" s="54">
        <f t="array" ref="AH22">MMULT(G8:H8-$AK$24:$AL$24,MMULT($AK$20:$AL$21,TRANSPOSE(G8:H8-$AK$24:$AL$24)))</f>
        <v>0.74711673015292535</v>
      </c>
      <c r="AI22" s="55">
        <f t="shared" si="0"/>
        <v>0.68828081356170023</v>
      </c>
      <c r="AJ22" s="62" t="str">
        <f t="shared" si="1"/>
        <v/>
      </c>
      <c r="BA22" t="s">
        <v>23</v>
      </c>
      <c r="BB22" s="49">
        <f>_xlfn.F.DIST.RT(BB21,BB19,BB20)</f>
        <v>1.2988462572256443E-31</v>
      </c>
      <c r="BJ22">
        <v>2</v>
      </c>
      <c r="BK22">
        <v>48</v>
      </c>
      <c r="BL22" t="s">
        <v>11</v>
      </c>
      <c r="BM22">
        <v>2</v>
      </c>
      <c r="BN22">
        <v>24.5</v>
      </c>
      <c r="BO22">
        <v>24.5</v>
      </c>
      <c r="BQ22" t="s">
        <v>143</v>
      </c>
      <c r="CD22" s="48" t="str">
        <v>II ALTO</v>
      </c>
      <c r="CE22" s="48">
        <v>32.19</v>
      </c>
      <c r="CF22" s="48">
        <v>26.56</v>
      </c>
      <c r="CO22" t="s">
        <v>144</v>
      </c>
      <c r="CP22" s="49">
        <f>(CP15+CP17)/(CP14+CP16)</f>
        <v>0.5</v>
      </c>
    </row>
    <row r="23" spans="1:94">
      <c r="A23">
        <v>22</v>
      </c>
      <c r="B23" t="s">
        <v>145</v>
      </c>
      <c r="C23">
        <v>22</v>
      </c>
      <c r="D23">
        <v>1</v>
      </c>
      <c r="E23">
        <v>29</v>
      </c>
      <c r="F23" t="s">
        <v>11</v>
      </c>
      <c r="G23">
        <v>14.7</v>
      </c>
      <c r="H23">
        <v>14.4</v>
      </c>
      <c r="R23" t="s">
        <v>138</v>
      </c>
      <c r="U23" t="s">
        <v>13</v>
      </c>
      <c r="X23" t="str">
        <v>III BAJO</v>
      </c>
      <c r="Y23">
        <f>COUNTIF($F$2:$F$136,$X23)</f>
        <v>27</v>
      </c>
      <c r="Z23">
        <f>SUMIF($F$2:$F$136,$X23,$G$2:$G$136)</f>
        <v>560.41</v>
      </c>
      <c r="AA23">
        <f>AVERAGEIF($F$2:$F$136,$X23,$G$2:$G$136)</f>
        <v>20.755925925925926</v>
      </c>
      <c r="AB23">
        <f t="array" ref="AB23">_xlfn.VAR.S(IF($F$2:$F$136=$X23,$G$2:$G$136))</f>
        <v>75.888555840455837</v>
      </c>
      <c r="AC23">
        <f>($Y23-1)*AB23</f>
        <v>1973.1024518518518</v>
      </c>
      <c r="AD23">
        <f>SQRT(AA$28/Y23)</f>
        <v>1.6291683004098947</v>
      </c>
      <c r="AE23">
        <f>AA23-AD23*_xlfn.T.INV.2T(AD$17,Z$28)</f>
        <v>17.061526050548583</v>
      </c>
      <c r="AF23">
        <f>AA23+AD23*_xlfn.T.INV.2T(AD$17,Z$28)</f>
        <v>24.450325801303268</v>
      </c>
      <c r="AH23" s="54">
        <f t="array" ref="AH23">MMULT(G9:H9-$AK$24:$AL$24,MMULT($AK$20:$AL$21,TRANSPOSE(G9:H9-$AK$24:$AL$24)))</f>
        <v>0.27965109068036864</v>
      </c>
      <c r="AI23" s="55">
        <f t="shared" si="0"/>
        <v>0.86950991222400009</v>
      </c>
      <c r="AJ23" s="62" t="str">
        <f t="shared" si="1"/>
        <v/>
      </c>
      <c r="AK23" t="s">
        <v>146</v>
      </c>
      <c r="AQ23" t="s">
        <v>147</v>
      </c>
      <c r="AT23" s="63">
        <f>SUMPRODUCT(AV16:AV20^2/AT16:AT20)</f>
        <v>3.7037037037037035E-2</v>
      </c>
      <c r="BA23" t="s">
        <v>148</v>
      </c>
      <c r="BB23" s="50">
        <f>(BB16-BB18)*(1-BB15)*AT23/BB15</f>
        <v>9.687561090376871</v>
      </c>
      <c r="BJ23">
        <v>2</v>
      </c>
      <c r="BK23">
        <v>50</v>
      </c>
      <c r="BL23" t="s">
        <v>11</v>
      </c>
      <c r="BM23">
        <v>2</v>
      </c>
      <c r="BN23">
        <v>21.5</v>
      </c>
      <c r="BO23">
        <v>21.5</v>
      </c>
      <c r="BR23">
        <f t="array" ref="BR23:BS23">TRANSPOSE([1]!SortUnique(BM2:BM136))</f>
        <v>1</v>
      </c>
      <c r="BS23">
        <v>2</v>
      </c>
      <c r="CD23" s="49" t="str">
        <v/>
      </c>
      <c r="CE23" s="49">
        <v>22.66</v>
      </c>
      <c r="CF23" s="49">
        <v>33.4</v>
      </c>
      <c r="CO23" t="s">
        <v>149</v>
      </c>
      <c r="CP23" s="49">
        <f>SQRT(CP22*(1-CP22)*(1/CP14+1/CP16))</f>
        <v>0.13608276348795434</v>
      </c>
    </row>
    <row r="24" spans="1:94">
      <c r="A24">
        <v>23</v>
      </c>
      <c r="B24" t="s">
        <v>150</v>
      </c>
      <c r="C24">
        <v>23</v>
      </c>
      <c r="D24">
        <v>1</v>
      </c>
      <c r="E24">
        <v>34</v>
      </c>
      <c r="F24" t="s">
        <v>11</v>
      </c>
      <c r="G24">
        <v>16.899999999999999</v>
      </c>
      <c r="H24">
        <v>16.3</v>
      </c>
      <c r="R24" s="51">
        <f t="array" ref="R24:S25">[1]!COVPooled(F2:H136)*(COUNT(G2:G136)-[1]!COUNTAU(F2:F136))</f>
        <v>9316.2046222222216</v>
      </c>
      <c r="S24" s="53">
        <v>5725.8302814814824</v>
      </c>
      <c r="U24" s="51">
        <f t="array" ref="U24:V25">[1]!ExtractCov(F2:H136,U23)</f>
        <v>76.877671225071225</v>
      </c>
      <c r="V24" s="53">
        <v>48.041734330484324</v>
      </c>
      <c r="X24" s="45"/>
      <c r="Y24" s="45"/>
      <c r="Z24" s="45"/>
      <c r="AA24" s="45"/>
      <c r="AB24" s="45"/>
      <c r="AC24" s="45"/>
      <c r="AD24" s="45"/>
      <c r="AE24" s="45"/>
      <c r="AF24" s="45"/>
      <c r="AH24" s="54">
        <f t="array" ref="AH24">MMULT(G10:H10-$AK$24:$AL$24,MMULT($AK$20:$AL$21,TRANSPOSE(G10:H10-$AK$24:$AL$24)))</f>
        <v>6.2213473634225493E-3</v>
      </c>
      <c r="AI24" s="55">
        <f t="shared" si="0"/>
        <v>0.99689415945093407</v>
      </c>
      <c r="AJ24" s="62" t="str">
        <f t="shared" si="1"/>
        <v/>
      </c>
      <c r="AK24" s="60">
        <f>AVERAGE(G2:G136)</f>
        <v>21.520000000000003</v>
      </c>
      <c r="AL24" s="61">
        <f>AVERAGE(H2:H136)</f>
        <v>22.326296296296288</v>
      </c>
      <c r="AQ24" t="s">
        <v>47</v>
      </c>
      <c r="AR24" s="51">
        <f>SUMPRODUCT(AR16:AR20,$AV16:$AV20)</f>
        <v>21.675925925925931</v>
      </c>
      <c r="AS24" s="53">
        <f>SUMPRODUCT(AS16:AS20,$AV16:$AV20)</f>
        <v>23.486296296296295</v>
      </c>
      <c r="BJ24">
        <v>2</v>
      </c>
      <c r="BK24">
        <v>48</v>
      </c>
      <c r="BL24" t="s">
        <v>11</v>
      </c>
      <c r="BM24">
        <v>2</v>
      </c>
      <c r="BN24">
        <v>16.100000000000001</v>
      </c>
      <c r="BO24">
        <v>16.100000000000001</v>
      </c>
      <c r="BQ24" t="str">
        <f t="array" ref="BQ24:BQ28">[1]!SortUnique(BL2:BL136)</f>
        <v>I</v>
      </c>
      <c r="BR24" s="51">
        <f t="array" ref="BR24">_xlfn.VAR.S(IF(($BL$2:$BL$136=$BQ24)*($BM$2:$BM$136=BR$23),$BN$2:$BN$136))</f>
        <v>12.95174242424239</v>
      </c>
      <c r="BS24" s="53">
        <f t="array" ref="BS24">_xlfn.VAR.S(IF(($BL$2:$BL$136=$BQ24)*($BM$2:$BM$136=BS$23),$BN$2:$BN$136))</f>
        <v>30.687809523809523</v>
      </c>
      <c r="BT24">
        <f t="array" ref="BT24">_xlfn.VAR.S(IF($BL$2:$BL$136=$BQ24,$BN$2:$BN$136))</f>
        <v>22.037948717948613</v>
      </c>
      <c r="CD24" s="49" t="str">
        <v/>
      </c>
      <c r="CE24" s="49">
        <v>28.89</v>
      </c>
      <c r="CF24" s="49">
        <v>43.01</v>
      </c>
      <c r="CO24" t="s">
        <v>151</v>
      </c>
      <c r="CP24" s="49">
        <f>CP21/CP23</f>
        <v>0.27216552697590868</v>
      </c>
    </row>
    <row r="25" spans="1:94" ht="15.75" thickBot="1">
      <c r="A25">
        <v>24</v>
      </c>
      <c r="B25" t="s">
        <v>152</v>
      </c>
      <c r="C25">
        <v>24</v>
      </c>
      <c r="D25">
        <v>1</v>
      </c>
      <c r="E25">
        <v>51</v>
      </c>
      <c r="F25" t="s">
        <v>11</v>
      </c>
      <c r="G25">
        <v>14.9</v>
      </c>
      <c r="H25">
        <v>15.2</v>
      </c>
      <c r="R25" s="56">
        <v>5725.8302814814824</v>
      </c>
      <c r="S25" s="58">
        <v>7808.1932962962965</v>
      </c>
      <c r="U25" s="56">
        <v>48.041734330484324</v>
      </c>
      <c r="V25" s="58">
        <v>66.800547293447309</v>
      </c>
      <c r="X25" t="s">
        <v>28</v>
      </c>
      <c r="AH25" s="54">
        <f t="array" ref="AH25">MMULT(G11:H11-$AK$24:$AL$24,MMULT($AK$20:$AL$21,TRANSPOSE(G11:H11-$AK$24:$AL$24)))</f>
        <v>0.60080205460681368</v>
      </c>
      <c r="AI25" s="55">
        <f t="shared" si="0"/>
        <v>0.74052119191066756</v>
      </c>
      <c r="AJ25" s="62" t="str">
        <f t="shared" si="1"/>
        <v/>
      </c>
      <c r="AQ25" t="s">
        <v>149</v>
      </c>
      <c r="AR25" s="56">
        <f t="array" ref="AR25:AS25">SQRT([1]!DIAG(AX20:AY21)*AT23/(BB16-BB18))</f>
        <v>1.6291683004098938</v>
      </c>
      <c r="AS25" s="58">
        <v>1.4914947182847513</v>
      </c>
      <c r="BJ25">
        <v>2</v>
      </c>
      <c r="BK25">
        <v>44</v>
      </c>
      <c r="BL25" t="s">
        <v>11</v>
      </c>
      <c r="BM25">
        <v>2</v>
      </c>
      <c r="BN25">
        <v>0.6</v>
      </c>
      <c r="BO25">
        <v>0.6</v>
      </c>
      <c r="BQ25" t="str">
        <v>II ALTO</v>
      </c>
      <c r="BR25" s="54">
        <f t="array" ref="BR25">_xlfn.VAR.S(IF(($BL$2:$BL$136=$BQ25)*($BM$2:$BM$136=BR$23),$BN$2:$BN$136))</f>
        <v>28.527872222222463</v>
      </c>
      <c r="BS25" s="55">
        <f t="array" ref="BS25">_xlfn.VAR.S(IF(($BL$2:$BL$136=$BQ25)*($BM$2:$BM$136=BS$23),$BN$2:$BN$136))</f>
        <v>80.13058161764684</v>
      </c>
      <c r="BT25">
        <f t="array" ref="BT25">_xlfn.VAR.S(IF($BL$2:$BL$136=$BQ25,$BN$2:$BN$136))</f>
        <v>59.39230968660992</v>
      </c>
      <c r="CD25" s="49" t="str">
        <v/>
      </c>
      <c r="CE25" s="49">
        <v>33.89</v>
      </c>
      <c r="CF25" s="49">
        <v>38.340000000000003</v>
      </c>
      <c r="CO25" t="s">
        <v>23</v>
      </c>
      <c r="CP25" s="49">
        <f>CP18*_xlfn.NORM.S.DIST(-ABS(CP24),TRUE)</f>
        <v>0.78549474711835421</v>
      </c>
    </row>
    <row r="26" spans="1:94" ht="15.75" thickTop="1">
      <c r="A26">
        <v>25</v>
      </c>
      <c r="B26" t="s">
        <v>153</v>
      </c>
      <c r="C26">
        <v>25</v>
      </c>
      <c r="D26">
        <v>2</v>
      </c>
      <c r="E26">
        <v>54</v>
      </c>
      <c r="F26" t="s">
        <v>11</v>
      </c>
      <c r="G26">
        <v>19</v>
      </c>
      <c r="H26">
        <v>18.3</v>
      </c>
      <c r="X26" s="59" t="s">
        <v>154</v>
      </c>
      <c r="Y26" s="59" t="s">
        <v>75</v>
      </c>
      <c r="Z26" s="59" t="s">
        <v>76</v>
      </c>
      <c r="AA26" s="59" t="s">
        <v>77</v>
      </c>
      <c r="AB26" s="59" t="s">
        <v>78</v>
      </c>
      <c r="AC26" s="59" t="s">
        <v>43</v>
      </c>
      <c r="AD26" s="59" t="s">
        <v>155</v>
      </c>
      <c r="AE26" s="59" t="s">
        <v>156</v>
      </c>
      <c r="AF26" s="59" t="s">
        <v>157</v>
      </c>
      <c r="AH26" s="54">
        <f t="array" ref="AH26">MMULT(G12:H12-$AK$24:$AL$24,MMULT($AK$20:$AL$21,TRANSPOSE(G12:H12-$AK$24:$AL$24)))</f>
        <v>0.21525075769117413</v>
      </c>
      <c r="AI26" s="55">
        <f t="shared" si="0"/>
        <v>0.89796392971169015</v>
      </c>
      <c r="AJ26" s="62" t="str">
        <f t="shared" si="1"/>
        <v/>
      </c>
      <c r="BJ26">
        <v>2</v>
      </c>
      <c r="BK26">
        <v>62</v>
      </c>
      <c r="BL26" t="s">
        <v>11</v>
      </c>
      <c r="BM26">
        <v>2</v>
      </c>
      <c r="BN26">
        <v>23.1</v>
      </c>
      <c r="BO26">
        <v>23.1</v>
      </c>
      <c r="BQ26" t="str">
        <v>II BAJO</v>
      </c>
      <c r="BR26" s="54">
        <f t="array" ref="BR26">_xlfn.VAR.S(IF(($BL$2:$BL$136=$BQ26)*($BM$2:$BM$136=BR$23),$BN$2:$BN$136))</f>
        <v>61.594384558823322</v>
      </c>
      <c r="BS26" s="55">
        <f t="array" ref="BS26">_xlfn.VAR.S(IF(($BL$2:$BL$136=$BQ26)*($BM$2:$BM$136=BS$23),$BN$2:$BN$136))</f>
        <v>74.502298888888916</v>
      </c>
      <c r="BT26">
        <f t="array" ref="BT26">_xlfn.VAR.S(IF($BL$2:$BL$136=$BQ26,$BN$2:$BN$136))</f>
        <v>66.80054729344738</v>
      </c>
      <c r="CD26" s="49" t="str">
        <v/>
      </c>
      <c r="CE26" s="49">
        <v>36.15</v>
      </c>
      <c r="CF26" s="49">
        <v>35.549999999999997</v>
      </c>
      <c r="CO26" t="s">
        <v>158</v>
      </c>
      <c r="CP26" s="49">
        <f>CP21-CP23*_xlfn.NORM.S.INV(1-CP19/CP18)</f>
        <v>-0.22968027831603566</v>
      </c>
    </row>
    <row r="27" spans="1:94">
      <c r="A27">
        <v>26</v>
      </c>
      <c r="B27" t="s">
        <v>159</v>
      </c>
      <c r="C27">
        <v>26</v>
      </c>
      <c r="D27">
        <v>2</v>
      </c>
      <c r="E27">
        <v>64</v>
      </c>
      <c r="F27" t="s">
        <v>11</v>
      </c>
      <c r="G27">
        <v>15</v>
      </c>
      <c r="H27">
        <v>15.5</v>
      </c>
      <c r="U27" t="s">
        <v>14</v>
      </c>
      <c r="X27" t="s">
        <v>160</v>
      </c>
      <c r="Y27">
        <f>Y29-Y28</f>
        <v>3033.8985777777671</v>
      </c>
      <c r="Z27">
        <f>[1]!COUNTAU(F2:F136)-1</f>
        <v>4</v>
      </c>
      <c r="AA27">
        <f>Y27/Z27</f>
        <v>758.47464444444176</v>
      </c>
      <c r="AB27">
        <f>AA27/AA28</f>
        <v>10.583892022141692</v>
      </c>
      <c r="AC27">
        <f>_xlfn.F.DIST.RT(AB27,Z27,Z28)</f>
        <v>1.8688414044518606E-7</v>
      </c>
      <c r="AD27">
        <f>Y27/Y29</f>
        <v>0.24565775108484658</v>
      </c>
      <c r="AE27">
        <f>SQRT(DEVSQ(AA19:AA23)/(AA28*Z27))</f>
        <v>0.62609583996386964</v>
      </c>
      <c r="AF27">
        <f>(Y29-Z29*AA28)/(Y29+AA28)</f>
        <v>0.22116388754660546</v>
      </c>
      <c r="AH27" s="54">
        <f t="array" ref="AH27">MMULT(G13:H13-$AK$24:$AL$24,MMULT($AK$20:$AL$21,TRANSPOSE(G13:H13-$AK$24:$AL$24)))</f>
        <v>0.67020779378124062</v>
      </c>
      <c r="AI27" s="55">
        <f t="shared" si="0"/>
        <v>0.71526376881039322</v>
      </c>
      <c r="AJ27" s="62" t="str">
        <f t="shared" si="1"/>
        <v/>
      </c>
      <c r="AQ27" t="s">
        <v>161</v>
      </c>
      <c r="BJ27">
        <v>2</v>
      </c>
      <c r="BK27">
        <v>54</v>
      </c>
      <c r="BL27" t="s">
        <v>11</v>
      </c>
      <c r="BM27">
        <v>2</v>
      </c>
      <c r="BN27">
        <v>18.3</v>
      </c>
      <c r="BO27">
        <v>18.3</v>
      </c>
      <c r="BQ27" t="str">
        <v>III ALTO</v>
      </c>
      <c r="BR27" s="54">
        <f t="array" ref="BR27">_xlfn.VAR.S(IF(($BL$2:$BL$136=$BQ27)*($BM$2:$BM$136=BR$23),$BN$2:$BN$136))</f>
        <v>53.461013186813453</v>
      </c>
      <c r="BS27" s="55">
        <f t="array" ref="BS27">_xlfn.VAR.S(IF(($BL$2:$BL$136=$BQ27)*($BM$2:$BM$136=BS$23),$BN$2:$BN$136))</f>
        <v>76.664752564102628</v>
      </c>
      <c r="BT27">
        <f t="array" ref="BT27">_xlfn.VAR.S(IF($BL$2:$BL$136=$BQ27,$BN$2:$BN$136))</f>
        <v>62.117917378917177</v>
      </c>
      <c r="CD27" s="49" t="str">
        <v/>
      </c>
      <c r="CE27" s="49">
        <v>39.549999999999997</v>
      </c>
      <c r="CF27" s="49">
        <v>26.82</v>
      </c>
      <c r="CO27" t="s">
        <v>162</v>
      </c>
      <c r="CP27" s="49">
        <f>CP21+CP23*_xlfn.NORM.S.INV(1-CP19/CP18)</f>
        <v>0.30375435239010973</v>
      </c>
    </row>
    <row r="28" spans="1:94">
      <c r="A28">
        <v>27</v>
      </c>
      <c r="B28" t="s">
        <v>163</v>
      </c>
      <c r="C28">
        <v>27</v>
      </c>
      <c r="D28">
        <v>1</v>
      </c>
      <c r="E28">
        <v>67</v>
      </c>
      <c r="F28" t="s">
        <v>11</v>
      </c>
      <c r="G28">
        <v>9.5</v>
      </c>
      <c r="H28">
        <v>10.5</v>
      </c>
      <c r="U28" s="51">
        <f t="array" ref="U28:V29">[1]!ExtractCov(F2:H136,U27)</f>
        <v>100.42876410256406</v>
      </c>
      <c r="V28" s="53">
        <v>56.854226068376072</v>
      </c>
      <c r="X28" t="s">
        <v>164</v>
      </c>
      <c r="Y28">
        <f>SUM(AC19:AC23)</f>
        <v>9316.2046222222325</v>
      </c>
      <c r="Z28">
        <f>Z29-Z27</f>
        <v>130</v>
      </c>
      <c r="AA28">
        <f>Y28/Z28</f>
        <v>71.663112478632556</v>
      </c>
      <c r="AH28" s="54">
        <f t="array" ref="AH28">MMULT(G14:H14-$AK$24:$AL$24,MMULT($AK$20:$AL$21,TRANSPOSE(G14:H14-$AK$24:$AL$24)))</f>
        <v>4.8354087045891801E-2</v>
      </c>
      <c r="AI28" s="55">
        <f t="shared" si="0"/>
        <v>0.97611287999609841</v>
      </c>
      <c r="AJ28" s="62" t="str">
        <f t="shared" si="1"/>
        <v/>
      </c>
      <c r="AU28" t="s">
        <v>70</v>
      </c>
      <c r="AV28" s="48">
        <v>0.05</v>
      </c>
      <c r="BJ28">
        <v>2</v>
      </c>
      <c r="BK28">
        <v>64</v>
      </c>
      <c r="BL28" t="s">
        <v>11</v>
      </c>
      <c r="BM28">
        <v>2</v>
      </c>
      <c r="BN28">
        <v>15.5</v>
      </c>
      <c r="BO28">
        <v>15.5</v>
      </c>
      <c r="BQ28" t="str">
        <v>III BAJO</v>
      </c>
      <c r="BR28" s="56">
        <f t="array" ref="BR28">_xlfn.VAR.S(IF(($BL$2:$BL$136=$BQ28)*($BM$2:$BM$136=BR$23),$BN$2:$BN$136))</f>
        <v>90.229055882352782</v>
      </c>
      <c r="BS28" s="58">
        <f t="array" ref="BS28">_xlfn.VAR.S(IF(($BL$2:$BL$136=$BQ28)*($BM$2:$BM$136=BS$23),$BN$2:$BN$136))</f>
        <v>56.598288888888824</v>
      </c>
      <c r="BT28">
        <f t="array" ref="BT28">_xlfn.VAR.S(IF($BL$2:$BL$136=$BQ28,$BN$2:$BN$136))</f>
        <v>89.966403703703833</v>
      </c>
      <c r="CD28" s="49" t="str">
        <v/>
      </c>
      <c r="CE28" s="49">
        <v>25.81</v>
      </c>
      <c r="CF28" s="49">
        <v>18.079999999999998</v>
      </c>
      <c r="CO28" t="s">
        <v>165</v>
      </c>
      <c r="CP28" s="50" t="e">
        <f>ABS(2*ASIN(SQRT(CP15/CP14))-2*ASIN(SQRT(CG17CG16)))</f>
        <v>#NAME?</v>
      </c>
    </row>
    <row r="29" spans="1:94">
      <c r="A29">
        <v>1</v>
      </c>
      <c r="B29" t="s">
        <v>166</v>
      </c>
      <c r="C29">
        <v>28</v>
      </c>
      <c r="D29">
        <v>2</v>
      </c>
      <c r="E29">
        <v>22</v>
      </c>
      <c r="F29" t="s">
        <v>12</v>
      </c>
      <c r="G29">
        <v>24.3</v>
      </c>
      <c r="H29">
        <v>26.56</v>
      </c>
      <c r="U29" s="56">
        <v>56.854226068376072</v>
      </c>
      <c r="V29" s="58">
        <v>62.11791737891739</v>
      </c>
      <c r="X29" s="41" t="s">
        <v>26</v>
      </c>
      <c r="Y29" s="41">
        <f>DEVSQ(G2:G136)</f>
        <v>12350.1032</v>
      </c>
      <c r="Z29" s="41">
        <f>COUNT(G2:G136)-1</f>
        <v>134</v>
      </c>
      <c r="AA29" s="41">
        <f>Y29/Z29</f>
        <v>92.164949253731336</v>
      </c>
      <c r="AB29" s="41"/>
      <c r="AC29" s="41"/>
      <c r="AD29" s="41"/>
      <c r="AE29" s="41"/>
      <c r="AF29" s="41"/>
      <c r="AH29" s="54">
        <f t="array" ref="AH29">MMULT(G15:H15-$AK$24:$AL$24,MMULT($AK$20:$AL$21,TRANSPOSE(G15:H15-$AK$24:$AL$24)))</f>
        <v>6.0905557874893226E-2</v>
      </c>
      <c r="AI29" s="55">
        <f t="shared" si="0"/>
        <v>0.97000623571088729</v>
      </c>
      <c r="AJ29" s="62" t="str">
        <f t="shared" si="1"/>
        <v/>
      </c>
      <c r="AQ29" t="s">
        <v>158</v>
      </c>
      <c r="AR29" s="51">
        <f>AR24-AR25*$AV30</f>
        <v>17.62577191079103</v>
      </c>
      <c r="AS29" s="53">
        <f>AS24-AS25*$AV30</f>
        <v>19.778402323467557</v>
      </c>
      <c r="AU29" t="s">
        <v>167</v>
      </c>
      <c r="AV29" s="49">
        <f>_xlfn.F.INV.RT(AV28,BB19,BB20)</f>
        <v>3.0663910369425227</v>
      </c>
      <c r="BJ29">
        <v>2</v>
      </c>
      <c r="BK29">
        <v>22</v>
      </c>
      <c r="BL29" t="s">
        <v>12</v>
      </c>
      <c r="BM29">
        <v>2</v>
      </c>
      <c r="BN29">
        <v>26.56</v>
      </c>
      <c r="BO29">
        <v>26.56</v>
      </c>
      <c r="BR29">
        <f t="array" ref="BR29">_xlfn.VAR.S(IF($BM$2:$BM$136=BR$23,$BN$2:$BN$136))</f>
        <v>71.529574016563117</v>
      </c>
      <c r="BS29">
        <f t="array" ref="BS29">_xlfn.VAR.S(IF($BM$2:$BM$136=BS$23,$BN$2:$BN$136))</f>
        <v>88.880700240384158</v>
      </c>
      <c r="BT29">
        <f>_xlfn.VAR.S(BN2:BN136)</f>
        <v>79.925927971255049</v>
      </c>
      <c r="CD29" s="49" t="str">
        <v/>
      </c>
      <c r="CE29" s="49">
        <v>27.64</v>
      </c>
      <c r="CF29" s="49">
        <v>37.770000000000003</v>
      </c>
    </row>
    <row r="30" spans="1:94">
      <c r="A30">
        <v>2</v>
      </c>
      <c r="B30" t="s">
        <v>168</v>
      </c>
      <c r="C30">
        <v>29</v>
      </c>
      <c r="D30">
        <v>2</v>
      </c>
      <c r="E30">
        <v>51</v>
      </c>
      <c r="F30" t="s">
        <v>12</v>
      </c>
      <c r="G30">
        <v>39.03</v>
      </c>
      <c r="H30">
        <v>33.4</v>
      </c>
      <c r="AH30" s="54">
        <f t="array" ref="AH30">MMULT(G16:H16-$AK$24:$AL$24,MMULT($AK$20:$AL$21,TRANSPOSE(G16:H16-$AK$24:$AL$24)))</f>
        <v>5.7535251499751514E-2</v>
      </c>
      <c r="AI30" s="55">
        <f t="shared" si="0"/>
        <v>0.97164222286829738</v>
      </c>
      <c r="AJ30" s="62" t="str">
        <f t="shared" si="1"/>
        <v/>
      </c>
      <c r="AQ30" t="s">
        <v>162</v>
      </c>
      <c r="AR30" s="56">
        <f>AR24+AR25*$AV30</f>
        <v>25.726079941060831</v>
      </c>
      <c r="AS30" s="58">
        <f>AS24+AS25*$AV30</f>
        <v>27.194190269125034</v>
      </c>
      <c r="AU30" t="s">
        <v>115</v>
      </c>
      <c r="AV30" s="50">
        <f>SQRT(BB19*(BB16-BB18)*AV29/BB20)</f>
        <v>2.4860255469713564</v>
      </c>
      <c r="BJ30">
        <v>2</v>
      </c>
      <c r="BK30">
        <v>51</v>
      </c>
      <c r="BL30" t="s">
        <v>12</v>
      </c>
      <c r="BM30">
        <v>2</v>
      </c>
      <c r="BN30">
        <v>33.4</v>
      </c>
      <c r="BO30">
        <v>33.4</v>
      </c>
      <c r="CD30" s="49" t="str">
        <v/>
      </c>
      <c r="CE30" s="49">
        <v>29.49</v>
      </c>
      <c r="CF30" s="49">
        <v>47.48</v>
      </c>
    </row>
    <row r="31" spans="1:94">
      <c r="A31">
        <v>3</v>
      </c>
      <c r="B31" t="s">
        <v>169</v>
      </c>
      <c r="C31">
        <v>30</v>
      </c>
      <c r="D31">
        <v>2</v>
      </c>
      <c r="E31">
        <v>42</v>
      </c>
      <c r="F31" t="s">
        <v>12</v>
      </c>
      <c r="G31">
        <v>33.4</v>
      </c>
      <c r="H31">
        <v>43.01</v>
      </c>
      <c r="U31" t="s">
        <v>15</v>
      </c>
      <c r="X31" t="s">
        <v>112</v>
      </c>
      <c r="AA31" t="str">
        <f>H1</f>
        <v>ang izq</v>
      </c>
      <c r="AH31" s="54">
        <f t="array" ref="AH31">MMULT(G17:H17-$AK$24:$AL$24,MMULT($AK$20:$AL$21,TRANSPOSE(G17:H17-$AK$24:$AL$24)))</f>
        <v>0.3998825119615747</v>
      </c>
      <c r="AI31" s="55">
        <f t="shared" si="0"/>
        <v>0.81877885002576078</v>
      </c>
      <c r="AJ31" s="62" t="str">
        <f t="shared" si="1"/>
        <v/>
      </c>
      <c r="BJ31">
        <v>2</v>
      </c>
      <c r="BK31">
        <v>42</v>
      </c>
      <c r="BL31" t="s">
        <v>12</v>
      </c>
      <c r="BM31">
        <v>2</v>
      </c>
      <c r="BN31">
        <v>43.01</v>
      </c>
      <c r="BO31">
        <v>43.01</v>
      </c>
      <c r="CD31" s="49" t="str">
        <v/>
      </c>
      <c r="CE31" s="49">
        <v>24.58</v>
      </c>
      <c r="CF31" s="49">
        <v>39.42</v>
      </c>
    </row>
    <row r="32" spans="1:94">
      <c r="A32">
        <v>4</v>
      </c>
      <c r="B32" t="s">
        <v>170</v>
      </c>
      <c r="C32">
        <v>31</v>
      </c>
      <c r="D32">
        <v>2</v>
      </c>
      <c r="E32">
        <v>68</v>
      </c>
      <c r="F32" t="s">
        <v>12</v>
      </c>
      <c r="G32">
        <v>38.19</v>
      </c>
      <c r="H32">
        <v>38.340000000000003</v>
      </c>
      <c r="U32" s="51">
        <f t="array" ref="U32:V33">[1]!ExtractCov(F2:H136,U31)</f>
        <v>75.888555840455837</v>
      </c>
      <c r="V32" s="53">
        <v>67.334256125356134</v>
      </c>
      <c r="AH32" s="54">
        <f t="array" ref="AH32">MMULT(G18:H18-$AK$24:$AL$24,MMULT($AK$20:$AL$21,TRANSPOSE(G18:H18-$AK$24:$AL$24)))</f>
        <v>1.8827301448171428E-2</v>
      </c>
      <c r="AI32" s="55">
        <f t="shared" si="0"/>
        <v>0.9906305189778507</v>
      </c>
      <c r="AJ32" s="62" t="str">
        <f t="shared" si="1"/>
        <v/>
      </c>
      <c r="AQ32" t="s">
        <v>171</v>
      </c>
      <c r="BJ32">
        <v>2</v>
      </c>
      <c r="BK32">
        <v>68</v>
      </c>
      <c r="BL32" t="s">
        <v>12</v>
      </c>
      <c r="BM32">
        <v>2</v>
      </c>
      <c r="BN32">
        <v>38.340000000000003</v>
      </c>
      <c r="BO32">
        <v>38.340000000000003</v>
      </c>
      <c r="CD32" s="49" t="str">
        <v/>
      </c>
      <c r="CE32" s="49" t="str">
        <v/>
      </c>
      <c r="CF32" s="49">
        <v>37.340000000000003</v>
      </c>
    </row>
    <row r="33" spans="1:84" ht="15.75" thickBot="1">
      <c r="A33">
        <v>5</v>
      </c>
      <c r="B33" t="s">
        <v>172</v>
      </c>
      <c r="C33">
        <v>32</v>
      </c>
      <c r="D33">
        <v>2</v>
      </c>
      <c r="E33">
        <v>54</v>
      </c>
      <c r="F33" t="s">
        <v>12</v>
      </c>
      <c r="G33">
        <v>27.5</v>
      </c>
      <c r="H33">
        <v>35.549999999999997</v>
      </c>
      <c r="U33" s="56">
        <v>67.334256125356134</v>
      </c>
      <c r="V33" s="58">
        <v>89.966403703703691</v>
      </c>
      <c r="X33" t="s">
        <v>125</v>
      </c>
      <c r="AC33" t="s">
        <v>70</v>
      </c>
      <c r="AD33">
        <v>2.5000000000000001E-2</v>
      </c>
      <c r="AH33" s="54">
        <f t="array" ref="AH33">MMULT(G19:H19-$AK$24:$AL$24,MMULT($AK$20:$AL$21,TRANSPOSE(G19:H19-$AK$24:$AL$24)))</f>
        <v>8.3691234885593067E-3</v>
      </c>
      <c r="AI33" s="55">
        <f t="shared" si="0"/>
        <v>0.99582418133464679</v>
      </c>
      <c r="AJ33" s="62" t="str">
        <f t="shared" si="1"/>
        <v/>
      </c>
      <c r="AU33" t="s">
        <v>70</v>
      </c>
      <c r="AV33" s="48">
        <f>AV28/BB17</f>
        <v>2.5000000000000001E-2</v>
      </c>
      <c r="BJ33">
        <v>2</v>
      </c>
      <c r="BK33">
        <v>54</v>
      </c>
      <c r="BL33" t="s">
        <v>12</v>
      </c>
      <c r="BM33">
        <v>2</v>
      </c>
      <c r="BN33">
        <v>35.549999999999997</v>
      </c>
      <c r="BO33">
        <v>35.549999999999997</v>
      </c>
      <c r="CD33" s="49" t="str">
        <v/>
      </c>
      <c r="CE33" s="49" t="str">
        <v/>
      </c>
      <c r="CF33" s="49">
        <v>20.89</v>
      </c>
    </row>
    <row r="34" spans="1:84" ht="15.75" thickTop="1">
      <c r="A34">
        <v>6</v>
      </c>
      <c r="B34" t="s">
        <v>173</v>
      </c>
      <c r="C34">
        <v>33</v>
      </c>
      <c r="D34">
        <v>2</v>
      </c>
      <c r="E34">
        <v>27</v>
      </c>
      <c r="F34" t="s">
        <v>12</v>
      </c>
      <c r="G34">
        <v>24.88</v>
      </c>
      <c r="H34">
        <v>26.82</v>
      </c>
      <c r="X34" s="59" t="s">
        <v>40</v>
      </c>
      <c r="Y34" s="59" t="s">
        <v>116</v>
      </c>
      <c r="Z34" s="59" t="s">
        <v>129</v>
      </c>
      <c r="AA34" s="59" t="s">
        <v>4</v>
      </c>
      <c r="AB34" s="59" t="s">
        <v>130</v>
      </c>
      <c r="AC34" s="59" t="s">
        <v>75</v>
      </c>
      <c r="AD34" s="59" t="s">
        <v>131</v>
      </c>
      <c r="AE34" s="59" t="s">
        <v>41</v>
      </c>
      <c r="AF34" s="59" t="s">
        <v>42</v>
      </c>
      <c r="AH34" s="54">
        <f t="array" ref="AH34">MMULT(G20:H20-$AK$24:$AL$24,MMULT($AK$20:$AL$21,TRANSPOSE(G20:H20-$AK$24:$AL$24)))</f>
        <v>0.49425390626333687</v>
      </c>
      <c r="AI34" s="55">
        <f t="shared" si="0"/>
        <v>0.78104153156865308</v>
      </c>
      <c r="AJ34" s="62" t="str">
        <f t="shared" si="1"/>
        <v/>
      </c>
      <c r="AQ34" t="s">
        <v>158</v>
      </c>
      <c r="AR34" s="51">
        <f>AR24-AR25*$AV35</f>
        <v>17.981526050548588</v>
      </c>
      <c r="AS34" s="53">
        <f>AS24-AS25*$AV35</f>
        <v>20.104093303535631</v>
      </c>
      <c r="AU34" t="s">
        <v>76</v>
      </c>
      <c r="AV34" s="49">
        <f>BB16-BB18</f>
        <v>130</v>
      </c>
      <c r="BJ34">
        <v>2</v>
      </c>
      <c r="BK34">
        <v>27</v>
      </c>
      <c r="BL34" t="s">
        <v>12</v>
      </c>
      <c r="BM34">
        <v>2</v>
      </c>
      <c r="BN34">
        <v>26.82</v>
      </c>
      <c r="BO34">
        <v>26.82</v>
      </c>
      <c r="CD34" s="49" t="str">
        <v/>
      </c>
      <c r="CE34" s="49" t="str">
        <v/>
      </c>
      <c r="CF34" s="49">
        <v>33.75</v>
      </c>
    </row>
    <row r="35" spans="1:84">
      <c r="A35">
        <v>7</v>
      </c>
      <c r="B35" t="s">
        <v>174</v>
      </c>
      <c r="C35">
        <v>34</v>
      </c>
      <c r="D35">
        <v>2</v>
      </c>
      <c r="E35">
        <v>36</v>
      </c>
      <c r="F35" t="s">
        <v>12</v>
      </c>
      <c r="G35">
        <v>32.909999999999997</v>
      </c>
      <c r="H35">
        <v>18.079999999999998</v>
      </c>
      <c r="U35" t="s">
        <v>175</v>
      </c>
      <c r="X35" t="str">
        <f t="array" ref="X35:X39">[1]!SortUnique(F2:F136)</f>
        <v>I</v>
      </c>
      <c r="Y35">
        <f>COUNTIF($F$2:$F$136,$X35)</f>
        <v>27</v>
      </c>
      <c r="Z35">
        <f>SUMIF($F$2:$F$136,$X35,$H$2:$H$136)</f>
        <v>463.2</v>
      </c>
      <c r="AA35">
        <f>AVERAGEIF($F$2:$F$136,$X35,$H$2:$H$136)</f>
        <v>17.155555555555555</v>
      </c>
      <c r="AB35">
        <f t="array" ref="AB35">_xlfn.VAR.S(IF($F$2:$F$136=$X35,$H$2:$H$136))</f>
        <v>22.037948717948684</v>
      </c>
      <c r="AC35">
        <f>($Y35-1)*AB35</f>
        <v>572.98666666666577</v>
      </c>
      <c r="AD35">
        <f>SQRT(AA$44/Y35)</f>
        <v>1.4914947182847518</v>
      </c>
      <c r="AE35">
        <f>AA35-AD35*_xlfn.T.INV.2T(AD$33,Z$44)</f>
        <v>13.773352562794891</v>
      </c>
      <c r="AF35">
        <f>AA35+AD35*_xlfn.T.INV.2T(AD$33,Z$44)</f>
        <v>20.537758548316219</v>
      </c>
      <c r="AH35" s="54">
        <f t="array" ref="AH35">MMULT(G21:H21-$AK$24:$AL$24,MMULT($AK$20:$AL$21,TRANSPOSE(G21:H21-$AK$24:$AL$24)))</f>
        <v>6.6433627616744415</v>
      </c>
      <c r="AI35" s="55">
        <f t="shared" si="0"/>
        <v>3.609209614967307E-2</v>
      </c>
      <c r="AJ35" s="62" t="str">
        <f t="shared" si="1"/>
        <v/>
      </c>
      <c r="AQ35" t="s">
        <v>162</v>
      </c>
      <c r="AR35" s="56">
        <f>AR24+AR25*$AV35</f>
        <v>25.370325801303274</v>
      </c>
      <c r="AS35" s="58">
        <f>AS24+AS25*$AV35</f>
        <v>26.86849928905696</v>
      </c>
      <c r="AU35" t="s">
        <v>176</v>
      </c>
      <c r="AV35" s="50">
        <f>_xlfn.T.INV.2T(AV33,AV34)</f>
        <v>2.2676600535671123</v>
      </c>
      <c r="BJ35">
        <v>2</v>
      </c>
      <c r="BK35">
        <v>36</v>
      </c>
      <c r="BL35" t="s">
        <v>12</v>
      </c>
      <c r="BM35">
        <v>2</v>
      </c>
      <c r="BN35">
        <v>18.079999999999998</v>
      </c>
      <c r="BO35">
        <v>18.079999999999998</v>
      </c>
      <c r="CD35" s="49" t="str">
        <v/>
      </c>
      <c r="CE35" s="49" t="str">
        <v/>
      </c>
      <c r="CF35" s="49">
        <v>21.79</v>
      </c>
    </row>
    <row r="36" spans="1:84">
      <c r="A36">
        <v>8</v>
      </c>
      <c r="B36" t="s">
        <v>177</v>
      </c>
      <c r="C36">
        <v>35</v>
      </c>
      <c r="D36">
        <v>2</v>
      </c>
      <c r="E36">
        <v>58</v>
      </c>
      <c r="F36" t="s">
        <v>12</v>
      </c>
      <c r="G36">
        <v>16.96</v>
      </c>
      <c r="H36">
        <v>37.770000000000003</v>
      </c>
      <c r="U36" s="51">
        <f t="array" ref="U36:V37">[1]!COVPooled(F2:H136)</f>
        <v>71.66311247863247</v>
      </c>
      <c r="V36" s="53">
        <v>44.044848319088324</v>
      </c>
      <c r="X36" t="str">
        <v>II ALTO</v>
      </c>
      <c r="Y36">
        <f>COUNTIF($F$2:$F$136,$X36)</f>
        <v>27</v>
      </c>
      <c r="Z36">
        <f>SUMIF($F$2:$F$136,$X36,$H$2:$H$136)</f>
        <v>827.9799999999999</v>
      </c>
      <c r="AA36">
        <f>AVERAGEIF($F$2:$F$136,$X36,$H$2:$H$136)</f>
        <v>30.665925925925922</v>
      </c>
      <c r="AB36">
        <f t="array" ref="AB36">_xlfn.VAR.S(IF($F$2:$F$136=$X36,$H$2:$H$136))</f>
        <v>59.39230968660992</v>
      </c>
      <c r="AC36">
        <f>($Y36-1)*AB36</f>
        <v>1544.200051851858</v>
      </c>
      <c r="AD36">
        <f>SQRT(AA$44/Y36)</f>
        <v>1.4914947182847518</v>
      </c>
      <c r="AE36">
        <f>AA36-AD36*_xlfn.T.INV.2T(AD$33,Z$44)</f>
        <v>27.283722933165258</v>
      </c>
      <c r="AF36">
        <f>AA36+AD36*_xlfn.T.INV.2T(AD$33,Z$44)</f>
        <v>34.048128918686587</v>
      </c>
      <c r="AH36" s="54">
        <f t="array" ref="AH36">MMULT(G22:H22-$AK$24:$AL$24,MMULT($AK$20:$AL$21,TRANSPOSE(G22:H22-$AK$24:$AL$24)))</f>
        <v>0.1022741574179504</v>
      </c>
      <c r="AI36" s="55">
        <f t="shared" si="0"/>
        <v>0.9501484164868359</v>
      </c>
      <c r="AJ36" s="62" t="str">
        <f t="shared" si="1"/>
        <v/>
      </c>
      <c r="BJ36">
        <v>2</v>
      </c>
      <c r="BK36">
        <v>58</v>
      </c>
      <c r="BL36" t="s">
        <v>12</v>
      </c>
      <c r="BM36">
        <v>2</v>
      </c>
      <c r="BN36">
        <v>37.770000000000003</v>
      </c>
      <c r="BO36">
        <v>37.770000000000003</v>
      </c>
      <c r="CD36" s="49" t="str">
        <v/>
      </c>
      <c r="CE36" s="49" t="str">
        <v/>
      </c>
      <c r="CF36" s="49">
        <v>23.85</v>
      </c>
    </row>
    <row r="37" spans="1:84">
      <c r="A37">
        <v>9</v>
      </c>
      <c r="B37" t="s">
        <v>178</v>
      </c>
      <c r="C37">
        <v>36</v>
      </c>
      <c r="D37">
        <v>2</v>
      </c>
      <c r="E37">
        <v>26</v>
      </c>
      <c r="F37" t="s">
        <v>12</v>
      </c>
      <c r="G37">
        <v>27.09</v>
      </c>
      <c r="H37">
        <v>47.48</v>
      </c>
      <c r="U37" s="56">
        <v>44.044848319088324</v>
      </c>
      <c r="V37" s="58">
        <v>60.063025356125358</v>
      </c>
      <c r="X37" t="str">
        <v>II BAJO</v>
      </c>
      <c r="Y37">
        <f>COUNTIF($F$2:$F$136,$X37)</f>
        <v>27</v>
      </c>
      <c r="Z37">
        <f>SUMIF($F$2:$F$136,$X37,$H$2:$H$136)</f>
        <v>634.13</v>
      </c>
      <c r="AA37">
        <f>AVERAGEIF($F$2:$F$136,$X37,$H$2:$H$136)</f>
        <v>23.486296296296295</v>
      </c>
      <c r="AB37">
        <f t="array" ref="AB37">_xlfn.VAR.S(IF($F$2:$F$136=$X37,$H$2:$H$136))</f>
        <v>66.80054729344738</v>
      </c>
      <c r="AC37">
        <f>($Y37-1)*AB37</f>
        <v>1736.8142296296319</v>
      </c>
      <c r="AD37">
        <f>SQRT(AA$44/Y37)</f>
        <v>1.4914947182847518</v>
      </c>
      <c r="AE37">
        <f>AA37-AD37*_xlfn.T.INV.2T(AD$33,Z$44)</f>
        <v>20.104093303535631</v>
      </c>
      <c r="AF37">
        <f>AA37+AD37*_xlfn.T.INV.2T(AD$33,Z$44)</f>
        <v>26.86849928905696</v>
      </c>
      <c r="AH37" s="54">
        <f t="array" ref="AH37">MMULT(G23:H23-$AK$24:$AL$24,MMULT($AK$20:$AL$21,TRANSPOSE(G23:H23-$AK$24:$AL$24)))</f>
        <v>0.79090423169520074</v>
      </c>
      <c r="AI37" s="55">
        <f t="shared" si="0"/>
        <v>0.67337552666957967</v>
      </c>
      <c r="AJ37" s="62" t="str">
        <f t="shared" si="1"/>
        <v/>
      </c>
      <c r="BJ37">
        <v>2</v>
      </c>
      <c r="BK37">
        <v>26</v>
      </c>
      <c r="BL37" t="s">
        <v>12</v>
      </c>
      <c r="BM37">
        <v>2</v>
      </c>
      <c r="BN37">
        <v>47.48</v>
      </c>
      <c r="BO37">
        <v>47.48</v>
      </c>
      <c r="CD37" s="49" t="str">
        <v/>
      </c>
      <c r="CE37" s="49" t="str">
        <v/>
      </c>
      <c r="CF37" s="49">
        <v>21.24</v>
      </c>
    </row>
    <row r="38" spans="1:84">
      <c r="A38">
        <v>10</v>
      </c>
      <c r="B38" t="s">
        <v>179</v>
      </c>
      <c r="C38">
        <v>37</v>
      </c>
      <c r="D38">
        <v>2</v>
      </c>
      <c r="E38">
        <v>49</v>
      </c>
      <c r="F38" t="s">
        <v>12</v>
      </c>
      <c r="G38">
        <v>53.56</v>
      </c>
      <c r="H38">
        <v>39.42</v>
      </c>
      <c r="X38" t="str">
        <v>III ALTO</v>
      </c>
      <c r="Y38">
        <f>COUNTIF($F$2:$F$136,$X38)</f>
        <v>27</v>
      </c>
      <c r="Z38">
        <f>SUMIF($F$2:$F$136,$X38,$H$2:$H$136)</f>
        <v>531.20000000000005</v>
      </c>
      <c r="AA38">
        <f>AVERAGEIF($F$2:$F$136,$X38,$H$2:$H$136)</f>
        <v>19.674074074074074</v>
      </c>
      <c r="AB38">
        <f t="array" ref="AB38">_xlfn.VAR.S(IF($F$2:$F$136=$X38,$H$2:$H$136))</f>
        <v>62.117917378917177</v>
      </c>
      <c r="AC38">
        <f>($Y38-1)*AB38</f>
        <v>1615.0658518518467</v>
      </c>
      <c r="AD38">
        <f>SQRT(AA$44/Y38)</f>
        <v>1.4914947182847518</v>
      </c>
      <c r="AE38">
        <f>AA38-AD38*_xlfn.T.INV.2T(AD$33,Z$44)</f>
        <v>16.29187108131341</v>
      </c>
      <c r="AF38">
        <f>AA38+AD38*_xlfn.T.INV.2T(AD$33,Z$44)</f>
        <v>23.056277066834738</v>
      </c>
      <c r="AH38" s="54">
        <f t="array" ref="AH38">MMULT(G24:H24-$AK$24:$AL$24,MMULT($AK$20:$AL$21,TRANSPOSE(G24:H24-$AK$24:$AL$24)))</f>
        <v>0.45566599398870661</v>
      </c>
      <c r="AI38" s="55">
        <f t="shared" si="0"/>
        <v>0.79625722608228688</v>
      </c>
      <c r="AJ38" s="62" t="str">
        <f t="shared" si="1"/>
        <v/>
      </c>
      <c r="BJ38">
        <v>2</v>
      </c>
      <c r="BK38">
        <v>49</v>
      </c>
      <c r="BL38" t="s">
        <v>12</v>
      </c>
      <c r="BM38">
        <v>2</v>
      </c>
      <c r="BN38">
        <v>39.42</v>
      </c>
      <c r="BO38">
        <v>39.42</v>
      </c>
      <c r="CD38" s="50" t="str">
        <v/>
      </c>
      <c r="CE38" s="50" t="str">
        <v/>
      </c>
      <c r="CF38" s="50">
        <v>21.84</v>
      </c>
    </row>
    <row r="39" spans="1:84">
      <c r="A39">
        <v>11</v>
      </c>
      <c r="B39" t="s">
        <v>180</v>
      </c>
      <c r="C39">
        <v>38</v>
      </c>
      <c r="D39">
        <v>2</v>
      </c>
      <c r="E39">
        <v>19</v>
      </c>
      <c r="F39" t="s">
        <v>12</v>
      </c>
      <c r="G39">
        <v>42.08</v>
      </c>
      <c r="H39">
        <v>37.340000000000003</v>
      </c>
      <c r="U39" t="s">
        <v>181</v>
      </c>
      <c r="X39" t="str">
        <v>III BAJO</v>
      </c>
      <c r="Y39">
        <f>COUNTIF($F$2:$F$136,$X39)</f>
        <v>27</v>
      </c>
      <c r="Z39">
        <f>SUMIF($F$2:$F$136,$X39,$H$2:$H$136)</f>
        <v>557.54</v>
      </c>
      <c r="AA39">
        <f>AVERAGEIF($F$2:$F$136,$X39,$H$2:$H$136)</f>
        <v>20.649629629629629</v>
      </c>
      <c r="AB39">
        <f t="array" ref="AB39">_xlfn.VAR.S(IF($F$2:$F$136=$X39,$H$2:$H$136))</f>
        <v>89.966403703703833</v>
      </c>
      <c r="AC39">
        <f>($Y39-1)*AB39</f>
        <v>2339.1264962962996</v>
      </c>
      <c r="AD39">
        <f>SQRT(AA$44/Y39)</f>
        <v>1.4914947182847518</v>
      </c>
      <c r="AE39">
        <f>AA39-AD39*_xlfn.T.INV.2T(AD$33,Z$44)</f>
        <v>17.267426636868965</v>
      </c>
      <c r="AF39">
        <f>AA39+AD39*_xlfn.T.INV.2T(AD$33,Z$44)</f>
        <v>24.031832622390294</v>
      </c>
      <c r="AH39" s="54">
        <f t="array" ref="AH39">MMULT(G25:H25-$AK$24:$AL$24,MMULT($AK$20:$AL$21,TRANSPOSE(G25:H25-$AK$24:$AL$24)))</f>
        <v>0.65482560952810598</v>
      </c>
      <c r="AI39" s="55">
        <f t="shared" si="0"/>
        <v>0.72078613765288868</v>
      </c>
      <c r="AJ39" s="62" t="str">
        <f t="shared" si="1"/>
        <v/>
      </c>
      <c r="BJ39">
        <v>2</v>
      </c>
      <c r="BK39">
        <v>19</v>
      </c>
      <c r="BL39" t="s">
        <v>12</v>
      </c>
      <c r="BM39">
        <v>2</v>
      </c>
      <c r="BN39">
        <v>37.340000000000003</v>
      </c>
      <c r="BO39">
        <v>37.340000000000003</v>
      </c>
      <c r="CD39" s="48" t="str">
        <v>II BAJO</v>
      </c>
      <c r="CE39" s="48">
        <v>27.2</v>
      </c>
      <c r="CF39" s="48">
        <v>26.5</v>
      </c>
    </row>
    <row r="40" spans="1:84">
      <c r="A40">
        <v>12</v>
      </c>
      <c r="B40" t="s">
        <v>182</v>
      </c>
      <c r="C40">
        <v>39</v>
      </c>
      <c r="D40">
        <v>2</v>
      </c>
      <c r="E40">
        <v>59</v>
      </c>
      <c r="F40" t="s">
        <v>12</v>
      </c>
      <c r="G40">
        <v>31.79</v>
      </c>
      <c r="H40">
        <v>20.89</v>
      </c>
      <c r="U40" s="51">
        <f t="array" ref="U40:V41">[1]!CORR(G2:H136)</f>
        <v>0.99999999999999967</v>
      </c>
      <c r="V40" s="53">
        <v>0.74924383972059627</v>
      </c>
      <c r="X40" s="45"/>
      <c r="Y40" s="45"/>
      <c r="Z40" s="45"/>
      <c r="AA40" s="45"/>
      <c r="AB40" s="45"/>
      <c r="AC40" s="45"/>
      <c r="AD40" s="45"/>
      <c r="AE40" s="45"/>
      <c r="AF40" s="45"/>
      <c r="AH40" s="54">
        <f t="array" ref="AH40">MMULT(G26:H26-$AK$24:$AL$24,MMULT($AK$20:$AL$21,TRANSPOSE(G26:H26-$AK$24:$AL$24)))</f>
        <v>0.215628829913836</v>
      </c>
      <c r="AI40" s="55">
        <f t="shared" si="0"/>
        <v>0.8977941981455051</v>
      </c>
      <c r="AJ40" s="62" t="str">
        <f t="shared" si="1"/>
        <v/>
      </c>
      <c r="BJ40">
        <v>2</v>
      </c>
      <c r="BK40">
        <v>59</v>
      </c>
      <c r="BL40" t="s">
        <v>12</v>
      </c>
      <c r="BM40">
        <v>2</v>
      </c>
      <c r="BN40">
        <v>20.89</v>
      </c>
      <c r="BO40">
        <v>20.89</v>
      </c>
      <c r="CD40" s="49" t="str">
        <v/>
      </c>
      <c r="CE40" s="49">
        <v>24.89</v>
      </c>
      <c r="CF40" s="49">
        <v>17.87</v>
      </c>
    </row>
    <row r="41" spans="1:84" ht="15.75" thickBot="1">
      <c r="A41">
        <v>13</v>
      </c>
      <c r="B41" t="s">
        <v>183</v>
      </c>
      <c r="C41">
        <v>40</v>
      </c>
      <c r="D41">
        <v>2</v>
      </c>
      <c r="E41">
        <v>32</v>
      </c>
      <c r="F41" t="s">
        <v>12</v>
      </c>
      <c r="G41">
        <v>35.869999999999997</v>
      </c>
      <c r="H41">
        <v>33.75</v>
      </c>
      <c r="U41" s="56">
        <v>0.74924383972059627</v>
      </c>
      <c r="V41" s="58">
        <v>0.99999999999999756</v>
      </c>
      <c r="X41" t="s">
        <v>28</v>
      </c>
      <c r="AH41" s="54">
        <f t="array" ref="AH41">MMULT(G27:H27-$AK$24:$AL$24,MMULT($AK$20:$AL$21,TRANSPOSE(G27:H27-$AK$24:$AL$24)))</f>
        <v>0.60914877944887513</v>
      </c>
      <c r="AI41" s="55">
        <f t="shared" si="0"/>
        <v>0.7374371684463763</v>
      </c>
      <c r="AJ41" s="62" t="str">
        <f t="shared" si="1"/>
        <v/>
      </c>
      <c r="BJ41">
        <v>2</v>
      </c>
      <c r="BK41">
        <v>32</v>
      </c>
      <c r="BL41" t="s">
        <v>12</v>
      </c>
      <c r="BM41">
        <v>2</v>
      </c>
      <c r="BN41">
        <v>33.75</v>
      </c>
      <c r="BO41">
        <v>33.75</v>
      </c>
      <c r="CD41" s="49" t="str">
        <v/>
      </c>
      <c r="CE41" s="49">
        <v>34.450000000000003</v>
      </c>
      <c r="CF41" s="49">
        <v>9.82</v>
      </c>
    </row>
    <row r="42" spans="1:84" ht="15.75" thickTop="1">
      <c r="A42">
        <v>14</v>
      </c>
      <c r="B42" t="s">
        <v>184</v>
      </c>
      <c r="C42">
        <v>41</v>
      </c>
      <c r="D42">
        <v>2</v>
      </c>
      <c r="E42">
        <v>39</v>
      </c>
      <c r="F42" t="s">
        <v>12</v>
      </c>
      <c r="G42">
        <v>20.89</v>
      </c>
      <c r="H42">
        <v>21.79</v>
      </c>
      <c r="X42" s="59" t="s">
        <v>154</v>
      </c>
      <c r="Y42" s="59" t="s">
        <v>75</v>
      </c>
      <c r="Z42" s="59" t="s">
        <v>76</v>
      </c>
      <c r="AA42" s="59" t="s">
        <v>77</v>
      </c>
      <c r="AB42" s="59" t="s">
        <v>78</v>
      </c>
      <c r="AC42" s="59" t="s">
        <v>43</v>
      </c>
      <c r="AD42" s="59" t="s">
        <v>155</v>
      </c>
      <c r="AE42" s="59" t="s">
        <v>156</v>
      </c>
      <c r="AF42" s="59" t="s">
        <v>157</v>
      </c>
      <c r="AH42" s="54">
        <f t="array" ref="AH42">MMULT(G28:H28-$AK$24:$AL$24,MMULT($AK$20:$AL$21,TRANSPOSE(G28:H28-$AK$24:$AL$24)))</f>
        <v>1.9051003237272783</v>
      </c>
      <c r="AI42" s="55">
        <f t="shared" si="0"/>
        <v>0.38575602772846324</v>
      </c>
      <c r="AJ42" s="62" t="str">
        <f t="shared" si="1"/>
        <v/>
      </c>
      <c r="BJ42">
        <v>2</v>
      </c>
      <c r="BK42">
        <v>39</v>
      </c>
      <c r="BL42" t="s">
        <v>12</v>
      </c>
      <c r="BM42">
        <v>2</v>
      </c>
      <c r="BN42">
        <v>21.79</v>
      </c>
      <c r="BO42">
        <v>21.79</v>
      </c>
      <c r="CD42" s="49" t="str">
        <v/>
      </c>
      <c r="CE42" s="49">
        <v>4.2699999999999996</v>
      </c>
      <c r="CF42" s="49">
        <v>36.29</v>
      </c>
    </row>
    <row r="43" spans="1:84">
      <c r="A43">
        <v>15</v>
      </c>
      <c r="B43" t="s">
        <v>185</v>
      </c>
      <c r="C43">
        <v>42</v>
      </c>
      <c r="D43">
        <v>2</v>
      </c>
      <c r="E43">
        <v>61</v>
      </c>
      <c r="F43" t="s">
        <v>12</v>
      </c>
      <c r="G43">
        <v>21.8</v>
      </c>
      <c r="H43">
        <v>23.85</v>
      </c>
      <c r="X43" t="s">
        <v>160</v>
      </c>
      <c r="Y43">
        <f>Y45-Y44</f>
        <v>2901.8810518518494</v>
      </c>
      <c r="Z43">
        <f>[1]!COUNTAU(F2:F136)-1</f>
        <v>4</v>
      </c>
      <c r="AA43">
        <f>Y43/Z43</f>
        <v>725.47026296296235</v>
      </c>
      <c r="AB43">
        <f>AA43/AA44</f>
        <v>12.078483537276179</v>
      </c>
      <c r="AC43">
        <f>_xlfn.F.DIST.RT(AB43,Z43,Z44)</f>
        <v>2.2338800880619082E-8</v>
      </c>
      <c r="AD43">
        <f>Y43/Y45</f>
        <v>0.27094873084178034</v>
      </c>
      <c r="AE43">
        <f>SQRT(DEVSQ(AA35:AA39)/(AA44*Z43))</f>
        <v>0.66884321191243323</v>
      </c>
      <c r="AF43">
        <f>(Y45-Z45*AA44)/(Y45+AA44)</f>
        <v>0.24713045508363221</v>
      </c>
      <c r="AH43" s="54">
        <f t="array" ref="AH43">MMULT(G29:H29-$AK$24:$AL$24,MMULT($AK$20:$AL$21,TRANSPOSE(G29:H29-$AK$24:$AL$24)))</f>
        <v>0.23396348180171364</v>
      </c>
      <c r="AI43" s="55">
        <f t="shared" si="0"/>
        <v>0.88960143633594202</v>
      </c>
      <c r="AJ43" s="62" t="str">
        <f t="shared" si="1"/>
        <v/>
      </c>
      <c r="BJ43">
        <v>2</v>
      </c>
      <c r="BK43">
        <v>61</v>
      </c>
      <c r="BL43" t="s">
        <v>12</v>
      </c>
      <c r="BM43">
        <v>2</v>
      </c>
      <c r="BN43">
        <v>23.85</v>
      </c>
      <c r="BO43">
        <v>23.85</v>
      </c>
      <c r="CD43" s="49" t="str">
        <v/>
      </c>
      <c r="CE43" s="49">
        <v>16.78</v>
      </c>
      <c r="CF43" s="49">
        <v>20.350000000000001</v>
      </c>
    </row>
    <row r="44" spans="1:84">
      <c r="A44">
        <v>16</v>
      </c>
      <c r="B44" t="s">
        <v>186</v>
      </c>
      <c r="C44">
        <v>43</v>
      </c>
      <c r="D44">
        <v>2</v>
      </c>
      <c r="E44">
        <v>54</v>
      </c>
      <c r="F44" t="s">
        <v>12</v>
      </c>
      <c r="G44">
        <v>34.58</v>
      </c>
      <c r="H44">
        <v>21.24</v>
      </c>
      <c r="X44" t="s">
        <v>164</v>
      </c>
      <c r="Y44">
        <f>SUM(AC35:AC39)</f>
        <v>7808.1932962963019</v>
      </c>
      <c r="Z44">
        <f>Z45-Z43</f>
        <v>130</v>
      </c>
      <c r="AA44">
        <f>Y44/Z44</f>
        <v>60.063025356125401</v>
      </c>
      <c r="AH44" s="54">
        <f t="array" ref="AH44">MMULT(G30:H30-$AK$24:$AL$24,MMULT($AK$20:$AL$21,TRANSPOSE(G30:H30-$AK$24:$AL$24)))</f>
        <v>3.3639402823215567</v>
      </c>
      <c r="AI44" s="55">
        <f t="shared" si="0"/>
        <v>0.1860071544617114</v>
      </c>
      <c r="AJ44" s="62" t="str">
        <f t="shared" si="1"/>
        <v/>
      </c>
      <c r="BJ44">
        <v>2</v>
      </c>
      <c r="BK44">
        <v>54</v>
      </c>
      <c r="BL44" t="s">
        <v>12</v>
      </c>
      <c r="BM44">
        <v>2</v>
      </c>
      <c r="BN44">
        <v>21.24</v>
      </c>
      <c r="BO44">
        <v>21.24</v>
      </c>
      <c r="CD44" s="49" t="str">
        <v/>
      </c>
      <c r="CE44" s="49">
        <v>25.34</v>
      </c>
      <c r="CF44" s="49">
        <v>7.96</v>
      </c>
    </row>
    <row r="45" spans="1:84">
      <c r="A45">
        <v>17</v>
      </c>
      <c r="B45" t="s">
        <v>187</v>
      </c>
      <c r="C45">
        <v>44</v>
      </c>
      <c r="D45">
        <v>1</v>
      </c>
      <c r="E45">
        <v>65</v>
      </c>
      <c r="F45" t="s">
        <v>12</v>
      </c>
      <c r="G45">
        <v>28.17</v>
      </c>
      <c r="H45">
        <v>32.19</v>
      </c>
      <c r="X45" s="41" t="s">
        <v>26</v>
      </c>
      <c r="Y45" s="41">
        <f>DEVSQ(H2:H136)</f>
        <v>10710.074348148151</v>
      </c>
      <c r="Z45" s="41">
        <f>COUNT(H2:H136)-1</f>
        <v>134</v>
      </c>
      <c r="AA45" s="41">
        <f>Y45/Z45</f>
        <v>79.925927971254865</v>
      </c>
      <c r="AB45" s="41"/>
      <c r="AC45" s="41"/>
      <c r="AD45" s="41"/>
      <c r="AE45" s="41"/>
      <c r="AF45" s="41"/>
      <c r="AH45" s="54">
        <f t="array" ref="AH45">MMULT(G31:H31-$AK$24:$AL$24,MMULT($AK$20:$AL$21,TRANSPOSE(G31:H31-$AK$24:$AL$24)))</f>
        <v>5.9134488488541095</v>
      </c>
      <c r="AI45" s="55">
        <f t="shared" si="0"/>
        <v>5.1988932248634906E-2</v>
      </c>
      <c r="AJ45" s="62" t="str">
        <f t="shared" si="1"/>
        <v/>
      </c>
      <c r="BJ45">
        <v>1</v>
      </c>
      <c r="BK45">
        <v>65</v>
      </c>
      <c r="BL45" t="s">
        <v>12</v>
      </c>
      <c r="BM45">
        <v>1</v>
      </c>
      <c r="BN45">
        <v>32.19</v>
      </c>
      <c r="BO45">
        <v>32.19</v>
      </c>
      <c r="CD45" s="49" t="str">
        <v/>
      </c>
      <c r="CE45" s="49">
        <v>26.96</v>
      </c>
      <c r="CF45" s="49">
        <v>27.89</v>
      </c>
    </row>
    <row r="46" spans="1:84">
      <c r="A46">
        <v>18</v>
      </c>
      <c r="B46" t="s">
        <v>188</v>
      </c>
      <c r="C46">
        <v>45</v>
      </c>
      <c r="D46">
        <v>1</v>
      </c>
      <c r="E46">
        <v>63</v>
      </c>
      <c r="F46" t="s">
        <v>12</v>
      </c>
      <c r="G46">
        <v>22.02</v>
      </c>
      <c r="H46">
        <v>22.66</v>
      </c>
      <c r="AH46" s="54">
        <f t="array" ref="AH46">MMULT(G32:H32-$AK$24:$AL$24,MMULT($AK$20:$AL$21,TRANSPOSE(G32:H32-$AK$24:$AL$24)))</f>
        <v>3.5629992236610519</v>
      </c>
      <c r="AI46" s="55">
        <f t="shared" si="0"/>
        <v>0.16838544503286185</v>
      </c>
      <c r="AJ46" s="62" t="str">
        <f t="shared" si="1"/>
        <v/>
      </c>
      <c r="BJ46">
        <v>1</v>
      </c>
      <c r="BK46">
        <v>63</v>
      </c>
      <c r="BL46" t="s">
        <v>12</v>
      </c>
      <c r="BM46">
        <v>1</v>
      </c>
      <c r="BN46">
        <v>22.66</v>
      </c>
      <c r="BO46">
        <v>22.66</v>
      </c>
      <c r="CD46" s="49" t="str">
        <v/>
      </c>
      <c r="CE46" s="49">
        <v>22.74</v>
      </c>
      <c r="CF46" s="49">
        <v>16.25</v>
      </c>
    </row>
    <row r="47" spans="1:84">
      <c r="A47">
        <v>19</v>
      </c>
      <c r="B47" t="s">
        <v>189</v>
      </c>
      <c r="C47">
        <v>46</v>
      </c>
      <c r="D47">
        <v>2</v>
      </c>
      <c r="E47">
        <v>41</v>
      </c>
      <c r="F47" t="s">
        <v>12</v>
      </c>
      <c r="G47">
        <v>10.89</v>
      </c>
      <c r="H47">
        <v>21.84</v>
      </c>
      <c r="AH47" s="54">
        <f t="array" ref="AH47">MMULT(G33:H33-$AK$24:$AL$24,MMULT($AK$20:$AL$21,TRANSPOSE(G33:H33-$AK$24:$AL$24)))</f>
        <v>2.7248670379879645</v>
      </c>
      <c r="AI47" s="55">
        <f t="shared" si="0"/>
        <v>0.25603694743617955</v>
      </c>
      <c r="AJ47" s="62" t="str">
        <f t="shared" si="1"/>
        <v/>
      </c>
      <c r="BJ47">
        <v>2</v>
      </c>
      <c r="BK47">
        <v>41</v>
      </c>
      <c r="BL47" t="s">
        <v>12</v>
      </c>
      <c r="BM47">
        <v>2</v>
      </c>
      <c r="BN47">
        <v>21.84</v>
      </c>
      <c r="BO47">
        <v>21.84</v>
      </c>
      <c r="CD47" s="49" t="str">
        <v/>
      </c>
      <c r="CE47" s="49">
        <v>28.43</v>
      </c>
      <c r="CF47" s="49">
        <v>26.19</v>
      </c>
    </row>
    <row r="48" spans="1:84">
      <c r="A48">
        <v>20</v>
      </c>
      <c r="B48" t="s">
        <v>190</v>
      </c>
      <c r="C48">
        <v>47</v>
      </c>
      <c r="D48">
        <v>1</v>
      </c>
      <c r="E48">
        <v>52</v>
      </c>
      <c r="F48" t="s">
        <v>12</v>
      </c>
      <c r="G48">
        <v>30.78</v>
      </c>
      <c r="H48">
        <v>28.89</v>
      </c>
      <c r="AH48" s="54">
        <f t="array" ref="AH48">MMULT(G34:H34-$AK$24:$AL$24,MMULT($AK$20:$AL$21,TRANSPOSE(G34:H34-$AK$24:$AL$24)))</f>
        <v>0.25426569553130818</v>
      </c>
      <c r="AI48" s="55">
        <f t="shared" ref="AI48:AI79" si="3">_xlfn.CHISQ.DIST.RT(AH48,COUNT($G$2:$H$2))</f>
        <v>0.88061667686809875</v>
      </c>
      <c r="AJ48" s="62" t="str">
        <f t="shared" ref="AJ48:AJ79" si="4">IF(AI48&lt;0.001,"*","")</f>
        <v/>
      </c>
      <c r="BJ48">
        <v>1</v>
      </c>
      <c r="BK48">
        <v>52</v>
      </c>
      <c r="BL48" t="s">
        <v>12</v>
      </c>
      <c r="BM48">
        <v>1</v>
      </c>
      <c r="BN48">
        <v>28.89</v>
      </c>
      <c r="BO48">
        <v>28.89</v>
      </c>
      <c r="CD48" s="49" t="str">
        <v/>
      </c>
      <c r="CE48" s="49">
        <v>22.83</v>
      </c>
      <c r="CF48" s="49">
        <v>23.19</v>
      </c>
    </row>
    <row r="49" spans="1:84">
      <c r="A49">
        <v>21</v>
      </c>
      <c r="B49" t="s">
        <v>191</v>
      </c>
      <c r="C49">
        <v>48</v>
      </c>
      <c r="D49">
        <v>1</v>
      </c>
      <c r="E49">
        <v>28</v>
      </c>
      <c r="F49" t="s">
        <v>12</v>
      </c>
      <c r="G49">
        <v>32.479999999999997</v>
      </c>
      <c r="H49">
        <v>33.89</v>
      </c>
      <c r="AH49" s="54">
        <f t="array" ref="AH49">MMULT(G35:H35-$AK$24:$AL$24,MMULT($AK$20:$AL$21,TRANSPOSE(G35:H35-$AK$24:$AL$24)))</f>
        <v>5.6485138500996515</v>
      </c>
      <c r="AI49" s="55">
        <f t="shared" si="3"/>
        <v>5.9352743984658909E-2</v>
      </c>
      <c r="AJ49" s="62" t="str">
        <f t="shared" si="4"/>
        <v/>
      </c>
      <c r="BJ49">
        <v>1</v>
      </c>
      <c r="BK49">
        <v>28</v>
      </c>
      <c r="BL49" t="s">
        <v>12</v>
      </c>
      <c r="BM49">
        <v>1</v>
      </c>
      <c r="BN49">
        <v>33.89</v>
      </c>
      <c r="BO49">
        <v>33.89</v>
      </c>
      <c r="CD49" s="49" t="str">
        <v/>
      </c>
      <c r="CE49" s="49">
        <v>15.67</v>
      </c>
      <c r="CF49" s="49" t="str">
        <v/>
      </c>
    </row>
    <row r="50" spans="1:84">
      <c r="A50">
        <v>22</v>
      </c>
      <c r="B50" t="s">
        <v>192</v>
      </c>
      <c r="C50">
        <v>49</v>
      </c>
      <c r="D50">
        <v>1</v>
      </c>
      <c r="E50">
        <v>65</v>
      </c>
      <c r="F50" t="s">
        <v>12</v>
      </c>
      <c r="G50">
        <v>49.96</v>
      </c>
      <c r="H50">
        <v>36.15</v>
      </c>
      <c r="AH50" s="54">
        <f t="array" ref="AH50">MMULT(G36:H36-$AK$24:$AL$24,MMULT($AK$20:$AL$21,TRANSPOSE(G36:H36-$AK$24:$AL$24)))</f>
        <v>10.120668386232119</v>
      </c>
      <c r="AI50" s="55">
        <f t="shared" si="3"/>
        <v>6.3434392249149141E-3</v>
      </c>
      <c r="AJ50" s="62" t="str">
        <f t="shared" si="4"/>
        <v/>
      </c>
      <c r="BJ50">
        <v>1</v>
      </c>
      <c r="BK50">
        <v>65</v>
      </c>
      <c r="BL50" t="s">
        <v>12</v>
      </c>
      <c r="BM50">
        <v>1</v>
      </c>
      <c r="BN50">
        <v>36.15</v>
      </c>
      <c r="BO50">
        <v>36.15</v>
      </c>
      <c r="CD50" s="49" t="str">
        <v/>
      </c>
      <c r="CE50" s="49">
        <v>22.96</v>
      </c>
      <c r="CF50" s="49" t="str">
        <v/>
      </c>
    </row>
    <row r="51" spans="1:84">
      <c r="A51">
        <v>23</v>
      </c>
      <c r="B51" t="s">
        <v>193</v>
      </c>
      <c r="C51">
        <v>50</v>
      </c>
      <c r="D51">
        <v>1</v>
      </c>
      <c r="E51">
        <v>24</v>
      </c>
      <c r="F51" t="s">
        <v>12</v>
      </c>
      <c r="G51">
        <v>38.65</v>
      </c>
      <c r="H51">
        <v>39.549999999999997</v>
      </c>
      <c r="AH51" s="54">
        <f t="array" ref="AH51">MMULT(G37:H37-$AK$24:$AL$24,MMULT($AK$20:$AL$21,TRANSPOSE(G37:H37-$AK$24:$AL$24)))</f>
        <v>13.238064052149848</v>
      </c>
      <c r="AI51" s="55">
        <f t="shared" si="3"/>
        <v>1.3347222968959568E-3</v>
      </c>
      <c r="AJ51" s="62" t="str">
        <f t="shared" si="4"/>
        <v/>
      </c>
      <c r="BJ51">
        <v>1</v>
      </c>
      <c r="BK51">
        <v>24</v>
      </c>
      <c r="BL51" t="s">
        <v>12</v>
      </c>
      <c r="BM51">
        <v>1</v>
      </c>
      <c r="BN51">
        <v>39.549999999999997</v>
      </c>
      <c r="BO51">
        <v>39.549999999999997</v>
      </c>
      <c r="CD51" s="49" t="str">
        <v/>
      </c>
      <c r="CE51" s="49">
        <v>40.17</v>
      </c>
      <c r="CF51" s="49" t="str">
        <v/>
      </c>
    </row>
    <row r="52" spans="1:84">
      <c r="A52">
        <v>24</v>
      </c>
      <c r="B52" t="s">
        <v>194</v>
      </c>
      <c r="C52">
        <v>51</v>
      </c>
      <c r="D52">
        <v>1</v>
      </c>
      <c r="E52">
        <v>21</v>
      </c>
      <c r="F52" t="s">
        <v>12</v>
      </c>
      <c r="G52">
        <v>26.56</v>
      </c>
      <c r="H52">
        <v>25.81</v>
      </c>
      <c r="AH52" s="54">
        <f t="array" ref="AH52">MMULT(G38:H38-$AK$24:$AL$24,MMULT($AK$20:$AL$21,TRANSPOSE(G38:H38-$AK$24:$AL$24)))</f>
        <v>11.927917937506265</v>
      </c>
      <c r="AI52" s="55">
        <f t="shared" si="3"/>
        <v>2.5697183725290943E-3</v>
      </c>
      <c r="AJ52" s="62" t="str">
        <f t="shared" si="4"/>
        <v/>
      </c>
      <c r="BJ52">
        <v>1</v>
      </c>
      <c r="BK52">
        <v>21</v>
      </c>
      <c r="BL52" t="s">
        <v>12</v>
      </c>
      <c r="BM52">
        <v>1</v>
      </c>
      <c r="BN52">
        <v>25.81</v>
      </c>
      <c r="BO52">
        <v>25.81</v>
      </c>
      <c r="CD52" s="49" t="str">
        <v/>
      </c>
      <c r="CE52" s="49">
        <v>26.55</v>
      </c>
      <c r="CF52" s="49" t="str">
        <v/>
      </c>
    </row>
    <row r="53" spans="1:84">
      <c r="A53">
        <v>25</v>
      </c>
      <c r="B53" t="s">
        <v>195</v>
      </c>
      <c r="C53">
        <v>52</v>
      </c>
      <c r="D53">
        <v>1</v>
      </c>
      <c r="E53">
        <v>62</v>
      </c>
      <c r="F53" t="s">
        <v>12</v>
      </c>
      <c r="G53">
        <v>20.55</v>
      </c>
      <c r="H53">
        <v>27.64</v>
      </c>
      <c r="AH53" s="54">
        <f t="array" ref="AH53">MMULT(G39:H39-$AK$24:$AL$24,MMULT($AK$20:$AL$21,TRANSPOSE(G39:H39-$AK$24:$AL$24)))</f>
        <v>4.5992362994703573</v>
      </c>
      <c r="AI53" s="55">
        <f t="shared" si="3"/>
        <v>0.10029713489911261</v>
      </c>
      <c r="AJ53" s="62" t="str">
        <f t="shared" si="4"/>
        <v/>
      </c>
      <c r="BJ53">
        <v>1</v>
      </c>
      <c r="BK53">
        <v>62</v>
      </c>
      <c r="BL53" t="s">
        <v>12</v>
      </c>
      <c r="BM53">
        <v>1</v>
      </c>
      <c r="BN53">
        <v>27.64</v>
      </c>
      <c r="BO53">
        <v>27.64</v>
      </c>
      <c r="CD53" s="49" t="str">
        <v/>
      </c>
      <c r="CE53" s="49">
        <v>23.54</v>
      </c>
      <c r="CF53" s="49" t="str">
        <v/>
      </c>
    </row>
    <row r="54" spans="1:84">
      <c r="A54">
        <v>26</v>
      </c>
      <c r="B54" t="s">
        <v>196</v>
      </c>
      <c r="C54">
        <v>53</v>
      </c>
      <c r="D54">
        <v>1</v>
      </c>
      <c r="E54">
        <v>49</v>
      </c>
      <c r="F54" t="s">
        <v>12</v>
      </c>
      <c r="G54">
        <v>23.05</v>
      </c>
      <c r="H54">
        <v>29.49</v>
      </c>
      <c r="AH54" s="54">
        <f t="array" ref="AH54">MMULT(G40:H40-$AK$24:$AL$24,MMULT($AK$20:$AL$21,TRANSPOSE(G40:H40-$AK$24:$AL$24)))</f>
        <v>3.2549741540532198</v>
      </c>
      <c r="AI54" s="55">
        <f t="shared" si="3"/>
        <v>0.19642254919967309</v>
      </c>
      <c r="AJ54" s="62" t="str">
        <f t="shared" si="4"/>
        <v/>
      </c>
      <c r="BJ54">
        <v>1</v>
      </c>
      <c r="BK54">
        <v>49</v>
      </c>
      <c r="BL54" t="s">
        <v>12</v>
      </c>
      <c r="BM54">
        <v>1</v>
      </c>
      <c r="BN54">
        <v>29.49</v>
      </c>
      <c r="BO54">
        <v>29.49</v>
      </c>
      <c r="CD54" s="49" t="str">
        <v/>
      </c>
      <c r="CE54" s="49">
        <v>28.43</v>
      </c>
      <c r="CF54" s="49" t="str">
        <v/>
      </c>
    </row>
    <row r="55" spans="1:84">
      <c r="A55">
        <v>27</v>
      </c>
      <c r="B55" t="s">
        <v>197</v>
      </c>
      <c r="C55">
        <v>54</v>
      </c>
      <c r="D55">
        <v>1</v>
      </c>
      <c r="E55">
        <v>49</v>
      </c>
      <c r="F55" t="s">
        <v>12</v>
      </c>
      <c r="G55">
        <v>31.49</v>
      </c>
      <c r="H55">
        <v>24.58</v>
      </c>
      <c r="AH55" s="54">
        <f t="array" ref="AH55">MMULT(G41:H41-$AK$24:$AL$24,MMULT($AK$20:$AL$21,TRANSPOSE(G41:H41-$AK$24:$AL$24)))</f>
        <v>2.2910996184190089</v>
      </c>
      <c r="AI55" s="55">
        <f t="shared" si="3"/>
        <v>0.31804900343890025</v>
      </c>
      <c r="AJ55" s="62" t="str">
        <f t="shared" si="4"/>
        <v/>
      </c>
      <c r="BJ55">
        <v>1</v>
      </c>
      <c r="BK55">
        <v>49</v>
      </c>
      <c r="BL55" t="s">
        <v>12</v>
      </c>
      <c r="BM55">
        <v>1</v>
      </c>
      <c r="BN55">
        <v>24.58</v>
      </c>
      <c r="BO55">
        <v>24.58</v>
      </c>
      <c r="CD55" s="50" t="str">
        <v/>
      </c>
      <c r="CE55" s="50">
        <v>30.61</v>
      </c>
      <c r="CF55" s="50" t="str">
        <v/>
      </c>
    </row>
    <row r="56" spans="1:84">
      <c r="A56">
        <v>1</v>
      </c>
      <c r="B56" t="s">
        <v>198</v>
      </c>
      <c r="C56">
        <v>55</v>
      </c>
      <c r="D56">
        <v>2</v>
      </c>
      <c r="E56">
        <v>39</v>
      </c>
      <c r="F56" t="s">
        <v>13</v>
      </c>
      <c r="G56">
        <v>27.17</v>
      </c>
      <c r="H56">
        <v>26.5</v>
      </c>
      <c r="AH56" s="54">
        <f t="array" ref="AH56">MMULT(G42:H42-$AK$24:$AL$24,MMULT($AK$20:$AL$21,TRANSPOSE(G42:H42-$AK$24:$AL$24)))</f>
        <v>4.5732979745333338E-3</v>
      </c>
      <c r="AI56" s="55">
        <f t="shared" si="3"/>
        <v>0.997715963402943</v>
      </c>
      <c r="AJ56" s="62" t="str">
        <f t="shared" si="4"/>
        <v/>
      </c>
      <c r="BJ56">
        <v>2</v>
      </c>
      <c r="BK56">
        <v>39</v>
      </c>
      <c r="BL56" t="s">
        <v>13</v>
      </c>
      <c r="BM56">
        <v>2</v>
      </c>
      <c r="BN56">
        <v>26.5</v>
      </c>
      <c r="BO56">
        <v>26.5</v>
      </c>
      <c r="CD56" s="48" t="str">
        <v>III ALTO</v>
      </c>
      <c r="CE56" s="48">
        <v>16.5</v>
      </c>
      <c r="CF56" s="48">
        <v>13.53</v>
      </c>
    </row>
    <row r="57" spans="1:84">
      <c r="A57">
        <v>2</v>
      </c>
      <c r="B57" t="s">
        <v>199</v>
      </c>
      <c r="C57">
        <v>56</v>
      </c>
      <c r="D57">
        <v>1</v>
      </c>
      <c r="E57">
        <v>62</v>
      </c>
      <c r="F57" t="s">
        <v>13</v>
      </c>
      <c r="G57">
        <v>27.29</v>
      </c>
      <c r="H57">
        <v>27.2</v>
      </c>
      <c r="AH57" s="54">
        <f t="array" ref="AH57">MMULT(G43:H43-$AK$24:$AL$24,MMULT($AK$20:$AL$21,TRANSPOSE(G43:H43-$AK$24:$AL$24)))</f>
        <v>5.1180929776843638E-2</v>
      </c>
      <c r="AI57" s="55">
        <f t="shared" si="3"/>
        <v>0.97473419575679909</v>
      </c>
      <c r="AJ57" s="62" t="str">
        <f t="shared" si="4"/>
        <v/>
      </c>
      <c r="BJ57">
        <v>1</v>
      </c>
      <c r="BK57">
        <v>62</v>
      </c>
      <c r="BL57" t="s">
        <v>13</v>
      </c>
      <c r="BM57">
        <v>1</v>
      </c>
      <c r="BN57">
        <v>27.2</v>
      </c>
      <c r="BO57">
        <v>27.2</v>
      </c>
      <c r="CD57" s="49" t="str">
        <v/>
      </c>
      <c r="CE57" s="49">
        <v>31.42</v>
      </c>
      <c r="CF57" s="49">
        <v>23.02</v>
      </c>
    </row>
    <row r="58" spans="1:84">
      <c r="A58">
        <v>3</v>
      </c>
      <c r="B58" t="s">
        <v>200</v>
      </c>
      <c r="C58">
        <v>57</v>
      </c>
      <c r="D58">
        <v>1</v>
      </c>
      <c r="E58">
        <v>61</v>
      </c>
      <c r="F58" t="s">
        <v>13</v>
      </c>
      <c r="G58">
        <v>22.16</v>
      </c>
      <c r="H58">
        <v>24.89</v>
      </c>
      <c r="AH58" s="54">
        <f t="array" ref="AH58">MMULT(G44:H44-$AK$24:$AL$24,MMULT($AK$20:$AL$21,TRANSPOSE(G44:H44-$AK$24:$AL$24)))</f>
        <v>4.8174452261850362</v>
      </c>
      <c r="AI58" s="55">
        <f t="shared" si="3"/>
        <v>8.9930096761422162E-2</v>
      </c>
      <c r="AJ58" s="62" t="str">
        <f t="shared" si="4"/>
        <v/>
      </c>
      <c r="BJ58">
        <v>1</v>
      </c>
      <c r="BK58">
        <v>61</v>
      </c>
      <c r="BL58" t="s">
        <v>13</v>
      </c>
      <c r="BM58">
        <v>1</v>
      </c>
      <c r="BN58">
        <v>24.89</v>
      </c>
      <c r="BO58">
        <v>24.89</v>
      </c>
      <c r="CD58" s="49" t="str">
        <v/>
      </c>
      <c r="CE58" s="49">
        <v>16.62</v>
      </c>
      <c r="CF58" s="49">
        <v>33.1</v>
      </c>
    </row>
    <row r="59" spans="1:84">
      <c r="A59">
        <v>4</v>
      </c>
      <c r="B59" t="s">
        <v>201</v>
      </c>
      <c r="C59">
        <v>58</v>
      </c>
      <c r="D59">
        <v>2</v>
      </c>
      <c r="E59">
        <v>60</v>
      </c>
      <c r="F59" t="s">
        <v>13</v>
      </c>
      <c r="G59">
        <v>19.149999999999999</v>
      </c>
      <c r="H59">
        <v>17.87</v>
      </c>
      <c r="AH59" s="54">
        <f t="array" ref="AH59">MMULT(G45:H45-$AK$24:$AL$24,MMULT($AK$20:$AL$21,TRANSPOSE(G45:H45-$AK$24:$AL$24)))</f>
        <v>1.2581944646888268</v>
      </c>
      <c r="AI59" s="55">
        <f t="shared" si="3"/>
        <v>0.53307282475214712</v>
      </c>
      <c r="AJ59" s="62" t="str">
        <f t="shared" si="4"/>
        <v/>
      </c>
      <c r="BJ59">
        <v>2</v>
      </c>
      <c r="BK59">
        <v>60</v>
      </c>
      <c r="BL59" t="s">
        <v>13</v>
      </c>
      <c r="BM59">
        <v>2</v>
      </c>
      <c r="BN59">
        <v>17.87</v>
      </c>
      <c r="BO59">
        <v>17.87</v>
      </c>
      <c r="CD59" s="49" t="str">
        <v/>
      </c>
      <c r="CE59" s="49">
        <v>24.05</v>
      </c>
      <c r="CF59" s="49">
        <v>28.92</v>
      </c>
    </row>
    <row r="60" spans="1:84">
      <c r="A60">
        <v>5</v>
      </c>
      <c r="B60" t="s">
        <v>202</v>
      </c>
      <c r="C60">
        <v>59</v>
      </c>
      <c r="D60">
        <v>2</v>
      </c>
      <c r="E60">
        <v>45</v>
      </c>
      <c r="F60" t="s">
        <v>13</v>
      </c>
      <c r="G60">
        <v>27.94</v>
      </c>
      <c r="H60">
        <v>9.82</v>
      </c>
      <c r="AH60" s="54">
        <f t="array" ref="AH60">MMULT(G46:H46-$AK$24:$AL$24,MMULT($AK$20:$AL$21,TRANSPOSE(G46:H46-$AK$24:$AL$24)))</f>
        <v>2.7190823369302765E-3</v>
      </c>
      <c r="AI60" s="55">
        <f t="shared" si="3"/>
        <v>0.99864138258895307</v>
      </c>
      <c r="AJ60" s="62" t="str">
        <f t="shared" si="4"/>
        <v/>
      </c>
      <c r="BJ60">
        <v>2</v>
      </c>
      <c r="BK60">
        <v>45</v>
      </c>
      <c r="BL60" t="s">
        <v>13</v>
      </c>
      <c r="BM60">
        <v>2</v>
      </c>
      <c r="BN60">
        <v>9.82</v>
      </c>
      <c r="BO60">
        <v>9.82</v>
      </c>
      <c r="CD60" s="49" t="str">
        <v/>
      </c>
      <c r="CE60" s="49">
        <v>19.329999999999998</v>
      </c>
      <c r="CF60" s="49">
        <v>23.55</v>
      </c>
    </row>
    <row r="61" spans="1:84">
      <c r="A61">
        <v>6</v>
      </c>
      <c r="B61" t="s">
        <v>203</v>
      </c>
      <c r="C61">
        <v>60</v>
      </c>
      <c r="D61">
        <v>1</v>
      </c>
      <c r="E61">
        <v>49</v>
      </c>
      <c r="F61" t="s">
        <v>13</v>
      </c>
      <c r="G61">
        <v>26.18</v>
      </c>
      <c r="H61">
        <v>34.450000000000003</v>
      </c>
      <c r="AH61" s="54">
        <f t="array" ref="AH61">MMULT(G47:H47-$AK$24:$AL$24,MMULT($AK$20:$AL$21,TRANSPOSE(G47:H47-$AK$24:$AL$24)))</f>
        <v>2.5960957169116652</v>
      </c>
      <c r="AI61" s="55">
        <f t="shared" si="3"/>
        <v>0.27306433329716701</v>
      </c>
      <c r="AJ61" s="62" t="str">
        <f t="shared" si="4"/>
        <v/>
      </c>
      <c r="BJ61">
        <v>1</v>
      </c>
      <c r="BK61">
        <v>49</v>
      </c>
      <c r="BL61" t="s">
        <v>13</v>
      </c>
      <c r="BM61">
        <v>1</v>
      </c>
      <c r="BN61">
        <v>34.450000000000003</v>
      </c>
      <c r="BO61">
        <v>34.450000000000003</v>
      </c>
      <c r="CD61" s="49" t="str">
        <v/>
      </c>
      <c r="CE61" s="49">
        <v>10.3</v>
      </c>
      <c r="CF61" s="49">
        <v>25.07</v>
      </c>
    </row>
    <row r="62" spans="1:84">
      <c r="A62">
        <v>7</v>
      </c>
      <c r="B62" t="s">
        <v>203</v>
      </c>
      <c r="C62">
        <v>61</v>
      </c>
      <c r="D62">
        <v>1</v>
      </c>
      <c r="E62">
        <v>60</v>
      </c>
      <c r="F62" t="s">
        <v>13</v>
      </c>
      <c r="G62">
        <v>6.01</v>
      </c>
      <c r="H62">
        <v>4.2699999999999996</v>
      </c>
      <c r="AH62" s="54">
        <f t="array" ref="AH62">MMULT(G48:H48-$AK$24:$AL$24,MMULT($AK$20:$AL$21,TRANSPOSE(G48:H48-$AK$24:$AL$24)))</f>
        <v>0.93067231910487802</v>
      </c>
      <c r="AI62" s="55">
        <f t="shared" si="3"/>
        <v>0.62792398706048502</v>
      </c>
      <c r="AJ62" s="62" t="str">
        <f t="shared" si="4"/>
        <v/>
      </c>
      <c r="BJ62">
        <v>1</v>
      </c>
      <c r="BK62">
        <v>60</v>
      </c>
      <c r="BL62" t="s">
        <v>13</v>
      </c>
      <c r="BM62">
        <v>1</v>
      </c>
      <c r="BN62">
        <v>4.2699999999999996</v>
      </c>
      <c r="BO62">
        <v>4.2699999999999996</v>
      </c>
      <c r="CD62" s="49" t="str">
        <v/>
      </c>
      <c r="CE62" s="49">
        <v>15.68</v>
      </c>
      <c r="CF62" s="49">
        <v>8.67</v>
      </c>
    </row>
    <row r="63" spans="1:84">
      <c r="A63">
        <v>8</v>
      </c>
      <c r="B63" t="s">
        <v>204</v>
      </c>
      <c r="C63">
        <v>62</v>
      </c>
      <c r="D63">
        <v>1</v>
      </c>
      <c r="E63">
        <v>70</v>
      </c>
      <c r="F63" t="s">
        <v>13</v>
      </c>
      <c r="G63">
        <v>23.57</v>
      </c>
      <c r="H63">
        <v>16.78</v>
      </c>
      <c r="AH63" s="54">
        <f t="array" ref="AH63">MMULT(G49:H49-$AK$24:$AL$24,MMULT($AK$20:$AL$21,TRANSPOSE(G49:H49-$AK$24:$AL$24)))</f>
        <v>1.7408929229785812</v>
      </c>
      <c r="AI63" s="55">
        <f t="shared" si="3"/>
        <v>0.41876454526316625</v>
      </c>
      <c r="AJ63" s="62" t="str">
        <f t="shared" si="4"/>
        <v/>
      </c>
      <c r="BJ63">
        <v>1</v>
      </c>
      <c r="BK63">
        <v>70</v>
      </c>
      <c r="BL63" t="s">
        <v>13</v>
      </c>
      <c r="BM63">
        <v>1</v>
      </c>
      <c r="BN63">
        <v>16.78</v>
      </c>
      <c r="BO63">
        <v>16.78</v>
      </c>
      <c r="CD63" s="49" t="str">
        <v/>
      </c>
      <c r="CE63" s="49">
        <v>33.17</v>
      </c>
      <c r="CF63" s="49">
        <v>19.98</v>
      </c>
    </row>
    <row r="64" spans="1:84">
      <c r="A64">
        <v>9</v>
      </c>
      <c r="B64" t="s">
        <v>205</v>
      </c>
      <c r="C64">
        <v>63</v>
      </c>
      <c r="D64">
        <v>1</v>
      </c>
      <c r="E64">
        <v>28</v>
      </c>
      <c r="F64" t="s">
        <v>13</v>
      </c>
      <c r="G64">
        <v>24.22</v>
      </c>
      <c r="H64">
        <v>25.34</v>
      </c>
      <c r="AH64" s="54">
        <f t="array" ref="AH64">MMULT(G50:H50-$AK$24:$AL$24,MMULT($AK$20:$AL$21,TRANSPOSE(G50:H50-$AK$24:$AL$24)))</f>
        <v>9.8095145399427377</v>
      </c>
      <c r="AI64" s="55">
        <f t="shared" si="3"/>
        <v>7.4112417955382948E-3</v>
      </c>
      <c r="AJ64" s="62" t="str">
        <f t="shared" si="4"/>
        <v/>
      </c>
      <c r="BJ64">
        <v>1</v>
      </c>
      <c r="BK64">
        <v>28</v>
      </c>
      <c r="BL64" t="s">
        <v>13</v>
      </c>
      <c r="BM64">
        <v>1</v>
      </c>
      <c r="BN64">
        <v>25.34</v>
      </c>
      <c r="BO64">
        <v>25.34</v>
      </c>
      <c r="CD64" s="49" t="str">
        <v/>
      </c>
      <c r="CE64" s="49">
        <v>15.7</v>
      </c>
      <c r="CF64" s="49">
        <v>4.4800000000000004</v>
      </c>
    </row>
    <row r="65" spans="1:84">
      <c r="A65">
        <v>10</v>
      </c>
      <c r="B65" t="s">
        <v>206</v>
      </c>
      <c r="C65">
        <v>64</v>
      </c>
      <c r="D65">
        <v>1</v>
      </c>
      <c r="E65">
        <v>35</v>
      </c>
      <c r="F65" t="s">
        <v>13</v>
      </c>
      <c r="G65">
        <v>22.74</v>
      </c>
      <c r="H65">
        <v>26.96</v>
      </c>
      <c r="AH65" s="54">
        <f t="array" ref="AH65">MMULT(G51:H51-$AK$24:$AL$24,MMULT($AK$20:$AL$21,TRANSPOSE(G51:H51-$AK$24:$AL$24)))</f>
        <v>3.9765219823183897</v>
      </c>
      <c r="AI65" s="55">
        <f t="shared" si="3"/>
        <v>0.13693334681259242</v>
      </c>
      <c r="AJ65" s="62" t="str">
        <f t="shared" si="4"/>
        <v/>
      </c>
      <c r="BJ65">
        <v>1</v>
      </c>
      <c r="BK65">
        <v>35</v>
      </c>
      <c r="BL65" t="s">
        <v>13</v>
      </c>
      <c r="BM65">
        <v>1</v>
      </c>
      <c r="BN65">
        <v>26.96</v>
      </c>
      <c r="BO65">
        <v>26.96</v>
      </c>
      <c r="CD65" s="49" t="str">
        <v/>
      </c>
      <c r="CE65" s="49">
        <v>11.46</v>
      </c>
      <c r="CF65" s="49">
        <v>27.64</v>
      </c>
    </row>
    <row r="66" spans="1:84">
      <c r="A66">
        <v>11</v>
      </c>
      <c r="B66" t="s">
        <v>207</v>
      </c>
      <c r="C66">
        <v>65</v>
      </c>
      <c r="D66">
        <v>1</v>
      </c>
      <c r="E66">
        <v>46</v>
      </c>
      <c r="F66" t="s">
        <v>13</v>
      </c>
      <c r="G66">
        <v>26.96</v>
      </c>
      <c r="H66">
        <v>22.74</v>
      </c>
      <c r="AH66" s="54">
        <f t="array" ref="AH66">MMULT(G52:H52-$AK$24:$AL$24,MMULT($AK$20:$AL$21,TRANSPOSE(G52:H52-$AK$24:$AL$24)))</f>
        <v>0.27564094058485483</v>
      </c>
      <c r="AI66" s="55">
        <f t="shared" si="3"/>
        <v>0.87125509387818878</v>
      </c>
      <c r="AJ66" s="62" t="str">
        <f t="shared" si="4"/>
        <v/>
      </c>
      <c r="BJ66">
        <v>1</v>
      </c>
      <c r="BK66">
        <v>46</v>
      </c>
      <c r="BL66" t="s">
        <v>13</v>
      </c>
      <c r="BM66">
        <v>1</v>
      </c>
      <c r="BN66">
        <v>22.74</v>
      </c>
      <c r="BO66">
        <v>22.74</v>
      </c>
      <c r="CD66" s="49" t="str">
        <v/>
      </c>
      <c r="CE66" s="49">
        <v>23.95</v>
      </c>
      <c r="CF66" s="49">
        <v>16.61</v>
      </c>
    </row>
    <row r="67" spans="1:84">
      <c r="A67">
        <v>12</v>
      </c>
      <c r="B67" t="s">
        <v>208</v>
      </c>
      <c r="C67">
        <v>66</v>
      </c>
      <c r="D67">
        <v>1</v>
      </c>
      <c r="E67">
        <v>41</v>
      </c>
      <c r="F67" t="s">
        <v>13</v>
      </c>
      <c r="G67">
        <v>36.29</v>
      </c>
      <c r="H67">
        <v>28.43</v>
      </c>
      <c r="AH67" s="54">
        <f t="array" ref="AH67">MMULT(G53:H53-$AK$24:$AL$24,MMULT($AK$20:$AL$21,TRANSPOSE(G53:H53-$AK$24:$AL$24)))</f>
        <v>1.0338223985423778</v>
      </c>
      <c r="AI67" s="55">
        <f t="shared" si="3"/>
        <v>0.59635974246243673</v>
      </c>
      <c r="AJ67" s="62" t="str">
        <f t="shared" si="4"/>
        <v/>
      </c>
      <c r="BJ67">
        <v>1</v>
      </c>
      <c r="BK67">
        <v>41</v>
      </c>
      <c r="BL67" t="s">
        <v>13</v>
      </c>
      <c r="BM67">
        <v>1</v>
      </c>
      <c r="BN67">
        <v>28.43</v>
      </c>
      <c r="BO67">
        <v>28.43</v>
      </c>
      <c r="CD67" s="49" t="str">
        <v/>
      </c>
      <c r="CE67" s="49">
        <v>19.28</v>
      </c>
      <c r="CF67" s="49">
        <v>22.13</v>
      </c>
    </row>
    <row r="68" spans="1:84">
      <c r="A68">
        <v>13</v>
      </c>
      <c r="B68" t="s">
        <v>209</v>
      </c>
      <c r="C68">
        <v>67</v>
      </c>
      <c r="D68">
        <v>2</v>
      </c>
      <c r="E68">
        <v>19</v>
      </c>
      <c r="F68" t="s">
        <v>13</v>
      </c>
      <c r="G68">
        <v>28.43</v>
      </c>
      <c r="H68">
        <v>36.29</v>
      </c>
      <c r="AH68" s="54">
        <f t="array" ref="AH68">MMULT(G54:H54-$AK$24:$AL$24,MMULT($AK$20:$AL$21,TRANSPOSE(G54:H54-$AK$24:$AL$24)))</f>
        <v>1.0854496373904299</v>
      </c>
      <c r="AI68" s="55">
        <f t="shared" si="3"/>
        <v>0.58116253042484078</v>
      </c>
      <c r="AJ68" s="62" t="str">
        <f t="shared" si="4"/>
        <v/>
      </c>
      <c r="BJ68">
        <v>2</v>
      </c>
      <c r="BK68">
        <v>19</v>
      </c>
      <c r="BL68" t="s">
        <v>13</v>
      </c>
      <c r="BM68">
        <v>2</v>
      </c>
      <c r="BN68">
        <v>36.29</v>
      </c>
      <c r="BO68">
        <v>36.29</v>
      </c>
      <c r="CD68" s="49" t="str">
        <v/>
      </c>
      <c r="CE68" s="49">
        <v>27.47</v>
      </c>
      <c r="CF68" s="49">
        <v>8.26</v>
      </c>
    </row>
    <row r="69" spans="1:84">
      <c r="A69">
        <v>14</v>
      </c>
      <c r="B69" t="s">
        <v>210</v>
      </c>
      <c r="C69">
        <v>68</v>
      </c>
      <c r="D69">
        <v>1</v>
      </c>
      <c r="E69">
        <v>32</v>
      </c>
      <c r="F69" t="s">
        <v>13</v>
      </c>
      <c r="G69">
        <v>16.600000000000001</v>
      </c>
      <c r="H69">
        <v>22.83</v>
      </c>
      <c r="AH69" s="54">
        <f t="array" ref="AH69">MMULT(G55:H55-$AK$24:$AL$24,MMULT($AK$20:$AL$21,TRANSPOSE(G55:H55-$AK$24:$AL$24)))</f>
        <v>1.7093064792688168</v>
      </c>
      <c r="AI69" s="55">
        <f t="shared" si="3"/>
        <v>0.42543068800865985</v>
      </c>
      <c r="AJ69" s="62" t="str">
        <f t="shared" si="4"/>
        <v/>
      </c>
      <c r="BJ69">
        <v>1</v>
      </c>
      <c r="BK69">
        <v>32</v>
      </c>
      <c r="BL69" t="s">
        <v>13</v>
      </c>
      <c r="BM69">
        <v>1</v>
      </c>
      <c r="BN69">
        <v>22.83</v>
      </c>
      <c r="BO69">
        <v>22.83</v>
      </c>
      <c r="CD69" s="49" t="str">
        <v/>
      </c>
      <c r="CE69" s="49">
        <v>11.31</v>
      </c>
      <c r="CF69" s="49" t="str">
        <v/>
      </c>
    </row>
    <row r="70" spans="1:84">
      <c r="A70">
        <v>15</v>
      </c>
      <c r="B70" t="s">
        <v>211</v>
      </c>
      <c r="C70">
        <v>69</v>
      </c>
      <c r="D70">
        <v>2</v>
      </c>
      <c r="E70">
        <v>20</v>
      </c>
      <c r="F70" t="s">
        <v>13</v>
      </c>
      <c r="G70">
        <v>3.23</v>
      </c>
      <c r="H70">
        <v>20.350000000000001</v>
      </c>
      <c r="AH70" s="54">
        <f t="array" ref="AH70">MMULT(G56:H56-$AK$24:$AL$24,MMULT($AK$20:$AL$21,TRANSPOSE(G56:H56-$AK$24:$AL$24)))</f>
        <v>0.34789213512906775</v>
      </c>
      <c r="AI70" s="55">
        <f t="shared" si="3"/>
        <v>0.84034221813874777</v>
      </c>
      <c r="AJ70" s="62" t="str">
        <f t="shared" si="4"/>
        <v/>
      </c>
      <c r="BJ70">
        <v>2</v>
      </c>
      <c r="BK70">
        <v>20</v>
      </c>
      <c r="BL70" t="s">
        <v>13</v>
      </c>
      <c r="BM70">
        <v>2</v>
      </c>
      <c r="BN70">
        <v>20.350000000000001</v>
      </c>
      <c r="BO70">
        <v>20.350000000000001</v>
      </c>
      <c r="CD70" s="49" t="str">
        <v/>
      </c>
      <c r="CE70" s="49" t="str">
        <v/>
      </c>
      <c r="CF70" s="49" t="str">
        <v/>
      </c>
    </row>
    <row r="71" spans="1:84">
      <c r="A71">
        <v>16</v>
      </c>
      <c r="B71" t="s">
        <v>212</v>
      </c>
      <c r="C71">
        <v>70</v>
      </c>
      <c r="D71">
        <v>1</v>
      </c>
      <c r="E71">
        <v>42</v>
      </c>
      <c r="F71" t="s">
        <v>13</v>
      </c>
      <c r="G71">
        <v>17.350000000000001</v>
      </c>
      <c r="H71">
        <v>15.67</v>
      </c>
      <c r="AH71" s="54">
        <f t="array" ref="AH71">MMULT(G57:H57-$AK$24:$AL$24,MMULT($AK$20:$AL$21,TRANSPOSE(G57:H57-$AK$24:$AL$24)))</f>
        <v>0.38173527242394123</v>
      </c>
      <c r="AI71" s="55">
        <f t="shared" si="3"/>
        <v>0.82624194542728802</v>
      </c>
      <c r="AJ71" s="62" t="str">
        <f t="shared" si="4"/>
        <v/>
      </c>
      <c r="BJ71">
        <v>1</v>
      </c>
      <c r="BK71">
        <v>42</v>
      </c>
      <c r="BL71" t="s">
        <v>13</v>
      </c>
      <c r="BM71">
        <v>1</v>
      </c>
      <c r="BN71">
        <v>15.67</v>
      </c>
      <c r="BO71">
        <v>15.67</v>
      </c>
      <c r="CD71" s="49" t="str">
        <v/>
      </c>
      <c r="CE71" s="49" t="str">
        <v/>
      </c>
      <c r="CF71" s="49" t="str">
        <v/>
      </c>
    </row>
    <row r="72" spans="1:84">
      <c r="A72">
        <v>17</v>
      </c>
      <c r="B72" t="s">
        <v>213</v>
      </c>
      <c r="C72">
        <v>71</v>
      </c>
      <c r="D72">
        <v>2</v>
      </c>
      <c r="E72">
        <v>18</v>
      </c>
      <c r="F72" t="s">
        <v>13</v>
      </c>
      <c r="G72">
        <v>3.5</v>
      </c>
      <c r="H72">
        <v>7.96</v>
      </c>
      <c r="AH72" s="54">
        <f t="array" ref="AH72">MMULT(G58:H58-$AK$24:$AL$24,MMULT($AK$20:$AL$21,TRANSPOSE(G58:H58-$AK$24:$AL$24)))</f>
        <v>0.13229918684131844</v>
      </c>
      <c r="AI72" s="55">
        <f t="shared" si="3"/>
        <v>0.9359908357473804</v>
      </c>
      <c r="AJ72" s="62" t="str">
        <f t="shared" si="4"/>
        <v/>
      </c>
      <c r="BJ72">
        <v>2</v>
      </c>
      <c r="BK72">
        <v>18</v>
      </c>
      <c r="BL72" t="s">
        <v>13</v>
      </c>
      <c r="BM72">
        <v>2</v>
      </c>
      <c r="BN72">
        <v>7.96</v>
      </c>
      <c r="BO72">
        <v>7.96</v>
      </c>
      <c r="CD72" s="50" t="str">
        <v/>
      </c>
      <c r="CE72" s="50" t="str">
        <v/>
      </c>
      <c r="CF72" s="50" t="str">
        <v/>
      </c>
    </row>
    <row r="73" spans="1:84">
      <c r="A73">
        <v>18</v>
      </c>
      <c r="B73" t="s">
        <v>214</v>
      </c>
      <c r="C73">
        <v>72</v>
      </c>
      <c r="D73">
        <v>1</v>
      </c>
      <c r="E73">
        <v>23</v>
      </c>
      <c r="F73" t="s">
        <v>13</v>
      </c>
      <c r="G73">
        <v>21.79</v>
      </c>
      <c r="H73">
        <v>22.96</v>
      </c>
      <c r="AH73" s="54">
        <f t="array" ref="AH73">MMULT(G59:H59-$AK$24:$AL$24,MMULT($AK$20:$AL$21,TRANSPOSE(G59:H59-$AK$24:$AL$24)))</f>
        <v>0.28500178516958596</v>
      </c>
      <c r="AI73" s="55">
        <f t="shared" si="3"/>
        <v>0.86718678025417673</v>
      </c>
      <c r="AJ73" s="62" t="str">
        <f t="shared" si="4"/>
        <v/>
      </c>
      <c r="BJ73">
        <v>1</v>
      </c>
      <c r="BK73">
        <v>23</v>
      </c>
      <c r="BL73" t="s">
        <v>13</v>
      </c>
      <c r="BM73">
        <v>1</v>
      </c>
      <c r="BN73">
        <v>22.96</v>
      </c>
      <c r="BO73">
        <v>22.96</v>
      </c>
      <c r="CD73" s="48" t="str">
        <v>III BAJO</v>
      </c>
      <c r="CE73" s="48">
        <v>16.600000000000001</v>
      </c>
      <c r="CF73" s="48">
        <v>26.15</v>
      </c>
    </row>
    <row r="74" spans="1:84">
      <c r="A74">
        <v>19</v>
      </c>
      <c r="B74" t="s">
        <v>215</v>
      </c>
      <c r="C74">
        <v>73</v>
      </c>
      <c r="D74">
        <v>2</v>
      </c>
      <c r="E74">
        <v>50</v>
      </c>
      <c r="F74" t="s">
        <v>13</v>
      </c>
      <c r="G74">
        <v>27.89</v>
      </c>
      <c r="H74">
        <v>27.89</v>
      </c>
      <c r="AH74" s="54">
        <f t="array" ref="AH74">MMULT(G60:H60-$AK$24:$AL$24,MMULT($AK$20:$AL$21,TRANSPOSE(G60:H60-$AK$24:$AL$24)))</f>
        <v>8.6767640510224862</v>
      </c>
      <c r="AI74" s="55">
        <f t="shared" si="3"/>
        <v>1.3057638046481424E-2</v>
      </c>
      <c r="AJ74" s="62" t="str">
        <f t="shared" si="4"/>
        <v/>
      </c>
      <c r="BJ74">
        <v>2</v>
      </c>
      <c r="BK74">
        <v>50</v>
      </c>
      <c r="BL74" t="s">
        <v>13</v>
      </c>
      <c r="BM74">
        <v>2</v>
      </c>
      <c r="BN74">
        <v>27.89</v>
      </c>
      <c r="BO74">
        <v>27.89</v>
      </c>
      <c r="CD74" s="49" t="str">
        <v/>
      </c>
      <c r="CE74" s="49">
        <v>2.95</v>
      </c>
      <c r="CF74" s="49">
        <v>16.920000000000002</v>
      </c>
    </row>
    <row r="75" spans="1:84">
      <c r="A75">
        <v>20</v>
      </c>
      <c r="B75" t="s">
        <v>216</v>
      </c>
      <c r="C75">
        <v>74</v>
      </c>
      <c r="D75">
        <v>2</v>
      </c>
      <c r="E75">
        <v>61</v>
      </c>
      <c r="F75" t="s">
        <v>13</v>
      </c>
      <c r="G75">
        <v>2.29</v>
      </c>
      <c r="H75">
        <v>16.25</v>
      </c>
      <c r="AH75" s="54">
        <f t="array" ref="AH75">MMULT(G61:H61-$AK$24:$AL$24,MMULT($AK$20:$AL$21,TRANSPOSE(G61:H61-$AK$24:$AL$24)))</f>
        <v>2.4809633772203088</v>
      </c>
      <c r="AI75" s="55">
        <f t="shared" si="3"/>
        <v>0.28924485842395109</v>
      </c>
      <c r="AJ75" s="62" t="str">
        <f t="shared" si="4"/>
        <v/>
      </c>
      <c r="BJ75">
        <v>2</v>
      </c>
      <c r="BK75">
        <v>61</v>
      </c>
      <c r="BL75" t="s">
        <v>13</v>
      </c>
      <c r="BM75">
        <v>2</v>
      </c>
      <c r="BN75">
        <v>16.25</v>
      </c>
      <c r="BO75">
        <v>16.25</v>
      </c>
      <c r="CD75" s="49" t="str">
        <v/>
      </c>
      <c r="CE75" s="49">
        <v>7.49</v>
      </c>
      <c r="CF75" s="49">
        <v>22.61</v>
      </c>
    </row>
    <row r="76" spans="1:84">
      <c r="A76">
        <v>21</v>
      </c>
      <c r="B76" t="s">
        <v>217</v>
      </c>
      <c r="C76">
        <v>75</v>
      </c>
      <c r="D76">
        <v>2</v>
      </c>
      <c r="E76">
        <v>69</v>
      </c>
      <c r="F76" t="s">
        <v>13</v>
      </c>
      <c r="G76">
        <v>29.05</v>
      </c>
      <c r="H76">
        <v>26.19</v>
      </c>
      <c r="AH76" s="54">
        <f t="array" ref="AH76">MMULT(G62:H62-$AK$24:$AL$24,MMULT($AK$20:$AL$21,TRANSPOSE(G62:H62-$AK$24:$AL$24)))</f>
        <v>4.103027771055789</v>
      </c>
      <c r="AI76" s="55">
        <f t="shared" si="3"/>
        <v>0.12854016112641808</v>
      </c>
      <c r="AJ76" s="62" t="str">
        <f t="shared" si="4"/>
        <v/>
      </c>
      <c r="BJ76">
        <v>2</v>
      </c>
      <c r="BK76">
        <v>69</v>
      </c>
      <c r="BL76" t="s">
        <v>13</v>
      </c>
      <c r="BM76">
        <v>2</v>
      </c>
      <c r="BN76">
        <v>26.19</v>
      </c>
      <c r="BO76">
        <v>26.19</v>
      </c>
      <c r="CD76" s="49" t="str">
        <v/>
      </c>
      <c r="CE76" s="49">
        <v>22.83</v>
      </c>
      <c r="CF76" s="49">
        <v>29.94</v>
      </c>
    </row>
    <row r="77" spans="1:84">
      <c r="A77">
        <v>22</v>
      </c>
      <c r="B77" t="s">
        <v>218</v>
      </c>
      <c r="C77">
        <v>76</v>
      </c>
      <c r="D77">
        <v>1</v>
      </c>
      <c r="E77">
        <v>56</v>
      </c>
      <c r="F77" t="s">
        <v>13</v>
      </c>
      <c r="G77">
        <v>31.71</v>
      </c>
      <c r="H77">
        <v>40.17</v>
      </c>
      <c r="AH77" s="54">
        <f t="array" ref="AH77">MMULT(G63:H63-$AK$24:$AL$24,MMULT($AK$20:$AL$21,TRANSPOSE(G63:H63-$AK$24:$AL$24)))</f>
        <v>1.4339572491152572</v>
      </c>
      <c r="AI77" s="55">
        <f t="shared" si="3"/>
        <v>0.48822514122186617</v>
      </c>
      <c r="AJ77" s="62" t="str">
        <f t="shared" si="4"/>
        <v/>
      </c>
      <c r="BJ77">
        <v>1</v>
      </c>
      <c r="BK77">
        <v>56</v>
      </c>
      <c r="BL77" t="s">
        <v>13</v>
      </c>
      <c r="BM77">
        <v>1</v>
      </c>
      <c r="BN77">
        <v>40.17</v>
      </c>
      <c r="BO77">
        <v>40.17</v>
      </c>
      <c r="CD77" s="49" t="str">
        <v/>
      </c>
      <c r="CE77" s="49">
        <v>2.95</v>
      </c>
      <c r="CF77" s="49">
        <v>27.89</v>
      </c>
    </row>
    <row r="78" spans="1:84">
      <c r="A78">
        <v>23</v>
      </c>
      <c r="B78" t="s">
        <v>219</v>
      </c>
      <c r="C78">
        <v>77</v>
      </c>
      <c r="D78">
        <v>1</v>
      </c>
      <c r="E78">
        <v>47</v>
      </c>
      <c r="F78" t="s">
        <v>13</v>
      </c>
      <c r="G78">
        <v>20.43</v>
      </c>
      <c r="H78">
        <v>26.55</v>
      </c>
      <c r="AH78" s="54">
        <f t="array" ref="AH78">MMULT(G64:H64-$AK$24:$AL$24,MMULT($AK$20:$AL$21,TRANSPOSE(G64:H64-$AK$24:$AL$24)))</f>
        <v>0.11550973306874898</v>
      </c>
      <c r="AI78" s="55">
        <f t="shared" si="3"/>
        <v>0.94388129597322679</v>
      </c>
      <c r="AJ78" s="62" t="str">
        <f t="shared" si="4"/>
        <v/>
      </c>
      <c r="BJ78">
        <v>1</v>
      </c>
      <c r="BK78">
        <v>47</v>
      </c>
      <c r="BL78" t="s">
        <v>13</v>
      </c>
      <c r="BM78">
        <v>1</v>
      </c>
      <c r="BN78">
        <v>26.55</v>
      </c>
      <c r="BO78">
        <v>26.55</v>
      </c>
      <c r="CD78" s="49" t="str">
        <v/>
      </c>
      <c r="CE78" s="49">
        <v>6.54</v>
      </c>
      <c r="CF78" s="49">
        <v>31.99</v>
      </c>
    </row>
    <row r="79" spans="1:84">
      <c r="A79">
        <v>24</v>
      </c>
      <c r="B79" t="s">
        <v>220</v>
      </c>
      <c r="C79">
        <v>78</v>
      </c>
      <c r="D79">
        <v>1</v>
      </c>
      <c r="E79">
        <v>26</v>
      </c>
      <c r="F79" t="s">
        <v>13</v>
      </c>
      <c r="G79">
        <v>21.31</v>
      </c>
      <c r="H79">
        <v>23.54</v>
      </c>
      <c r="AH79" s="54">
        <f t="array" ref="AH79">MMULT(G65:H65-$AK$24:$AL$24,MMULT($AK$20:$AL$21,TRANSPOSE(G65:H65-$AK$24:$AL$24)))</f>
        <v>0.42424641296068216</v>
      </c>
      <c r="AI79" s="55">
        <f t="shared" si="3"/>
        <v>0.80886503401311638</v>
      </c>
      <c r="AJ79" s="62" t="str">
        <f t="shared" si="4"/>
        <v/>
      </c>
      <c r="BJ79">
        <v>1</v>
      </c>
      <c r="BK79">
        <v>26</v>
      </c>
      <c r="BL79" t="s">
        <v>13</v>
      </c>
      <c r="BM79">
        <v>1</v>
      </c>
      <c r="BN79">
        <v>23.54</v>
      </c>
      <c r="BO79">
        <v>23.54</v>
      </c>
      <c r="CD79" s="49" t="str">
        <v/>
      </c>
      <c r="CE79" s="49">
        <v>17.62</v>
      </c>
      <c r="CF79" s="49">
        <v>8.9</v>
      </c>
    </row>
    <row r="80" spans="1:84">
      <c r="A80">
        <v>25</v>
      </c>
      <c r="B80" t="s">
        <v>221</v>
      </c>
      <c r="C80">
        <v>79</v>
      </c>
      <c r="D80">
        <v>2</v>
      </c>
      <c r="E80">
        <v>66</v>
      </c>
      <c r="F80" t="s">
        <v>13</v>
      </c>
      <c r="G80">
        <v>20.55</v>
      </c>
      <c r="H80">
        <v>23.19</v>
      </c>
      <c r="AH80" s="54">
        <f t="array" ref="AH80">MMULT(G66:H66-$AK$24:$AL$24,MMULT($AK$20:$AL$21,TRANSPOSE(G66:H66-$AK$24:$AL$24)))</f>
        <v>0.64733351488484525</v>
      </c>
      <c r="AI80" s="55">
        <f t="shared" ref="AI80:AI111" si="5">_xlfn.CHISQ.DIST.RT(AH80,COUNT($G$2:$H$2))</f>
        <v>0.72349130030353026</v>
      </c>
      <c r="AJ80" s="62" t="str">
        <f t="shared" ref="AJ80:AJ111" si="6">IF(AI80&lt;0.001,"*","")</f>
        <v/>
      </c>
      <c r="BJ80">
        <v>2</v>
      </c>
      <c r="BK80">
        <v>66</v>
      </c>
      <c r="BL80" t="s">
        <v>13</v>
      </c>
      <c r="BM80">
        <v>2</v>
      </c>
      <c r="BN80">
        <v>23.19</v>
      </c>
      <c r="BO80">
        <v>23.19</v>
      </c>
      <c r="CD80" s="49" t="str">
        <v/>
      </c>
      <c r="CE80" s="49">
        <v>15.04</v>
      </c>
      <c r="CF80" s="49">
        <v>32.85</v>
      </c>
    </row>
    <row r="81" spans="1:84">
      <c r="A81">
        <v>26</v>
      </c>
      <c r="B81" t="s">
        <v>222</v>
      </c>
      <c r="C81">
        <v>80</v>
      </c>
      <c r="D81">
        <v>1</v>
      </c>
      <c r="E81">
        <v>34</v>
      </c>
      <c r="F81" t="s">
        <v>13</v>
      </c>
      <c r="G81">
        <v>23.85</v>
      </c>
      <c r="H81">
        <v>28.43</v>
      </c>
      <c r="AH81" s="54">
        <f t="array" ref="AH81">MMULT(G67:H67-$AK$24:$AL$24,MMULT($AK$20:$AL$21,TRANSPOSE(G67:H67-$AK$24:$AL$24)))</f>
        <v>2.8705518365107494</v>
      </c>
      <c r="AI81" s="55">
        <f t="shared" si="5"/>
        <v>0.23804967270200314</v>
      </c>
      <c r="AJ81" s="62" t="str">
        <f t="shared" si="6"/>
        <v/>
      </c>
      <c r="BJ81">
        <v>1</v>
      </c>
      <c r="BK81">
        <v>34</v>
      </c>
      <c r="BL81" t="s">
        <v>13</v>
      </c>
      <c r="BM81">
        <v>1</v>
      </c>
      <c r="BN81">
        <v>28.43</v>
      </c>
      <c r="BO81">
        <v>28.43</v>
      </c>
      <c r="CD81" s="49" t="str">
        <v/>
      </c>
      <c r="CE81" s="49">
        <v>17.68</v>
      </c>
      <c r="CF81" s="49">
        <v>28.43</v>
      </c>
    </row>
    <row r="82" spans="1:84">
      <c r="A82">
        <v>27</v>
      </c>
      <c r="B82" t="s">
        <v>223</v>
      </c>
      <c r="C82">
        <v>81</v>
      </c>
      <c r="D82">
        <v>1</v>
      </c>
      <c r="E82">
        <v>41</v>
      </c>
      <c r="F82" t="s">
        <v>13</v>
      </c>
      <c r="G82">
        <v>27.59</v>
      </c>
      <c r="H82">
        <v>30.61</v>
      </c>
      <c r="AH82" s="54">
        <f t="array" ref="AH82">MMULT(G68:H68-$AK$24:$AL$24,MMULT($AK$20:$AL$21,TRANSPOSE(G68:H68-$AK$24:$AL$24)))</f>
        <v>2.9022202906683257</v>
      </c>
      <c r="AI82" s="55">
        <f t="shared" si="5"/>
        <v>0.23431002547433288</v>
      </c>
      <c r="AJ82" s="62" t="str">
        <f t="shared" si="6"/>
        <v/>
      </c>
      <c r="BJ82">
        <v>1</v>
      </c>
      <c r="BK82">
        <v>41</v>
      </c>
      <c r="BL82" t="s">
        <v>13</v>
      </c>
      <c r="BM82">
        <v>1</v>
      </c>
      <c r="BN82">
        <v>30.61</v>
      </c>
      <c r="BO82">
        <v>30.61</v>
      </c>
      <c r="CD82" s="49" t="str">
        <v/>
      </c>
      <c r="CE82" s="49">
        <v>25.49</v>
      </c>
      <c r="CF82" s="49">
        <v>30.12</v>
      </c>
    </row>
    <row r="83" spans="1:84">
      <c r="A83">
        <v>1</v>
      </c>
      <c r="B83" t="s">
        <v>224</v>
      </c>
      <c r="C83">
        <v>82</v>
      </c>
      <c r="D83">
        <v>1</v>
      </c>
      <c r="E83">
        <v>63</v>
      </c>
      <c r="F83" t="s">
        <v>14</v>
      </c>
      <c r="G83">
        <v>16.07</v>
      </c>
      <c r="H83">
        <v>16.5</v>
      </c>
      <c r="AH83" s="54">
        <f t="array" ref="AH83">MMULT(G69:H69-$AK$24:$AL$24,MMULT($AK$20:$AL$21,TRANSPOSE(G69:H69-$AK$24:$AL$24)))</f>
        <v>0.70465301898676125</v>
      </c>
      <c r="AI83" s="55">
        <f t="shared" si="5"/>
        <v>0.70305053182373167</v>
      </c>
      <c r="AJ83" s="62" t="str">
        <f t="shared" si="6"/>
        <v/>
      </c>
      <c r="BJ83">
        <v>1</v>
      </c>
      <c r="BK83">
        <v>63</v>
      </c>
      <c r="BL83" t="s">
        <v>14</v>
      </c>
      <c r="BM83">
        <v>1</v>
      </c>
      <c r="BN83">
        <v>16.5</v>
      </c>
      <c r="BO83">
        <v>16.5</v>
      </c>
      <c r="CD83" s="49" t="str">
        <v/>
      </c>
      <c r="CE83" s="49">
        <v>13.39</v>
      </c>
      <c r="CF83" s="49" t="str">
        <v/>
      </c>
    </row>
    <row r="84" spans="1:84">
      <c r="A84">
        <v>2</v>
      </c>
      <c r="B84" t="s">
        <v>225</v>
      </c>
      <c r="C84">
        <v>83</v>
      </c>
      <c r="D84">
        <v>1</v>
      </c>
      <c r="E84">
        <v>26</v>
      </c>
      <c r="F84" t="s">
        <v>14</v>
      </c>
      <c r="G84">
        <v>39.340000000000003</v>
      </c>
      <c r="H84">
        <v>31.42</v>
      </c>
      <c r="AH84" s="54">
        <f t="array" ref="AH84">MMULT(G70:H70-$AK$24:$AL$24,MMULT($AK$20:$AL$21,TRANSPOSE(G70:H70-$AK$24:$AL$24)))</f>
        <v>6.9474822911668346</v>
      </c>
      <c r="AI84" s="55">
        <f t="shared" si="5"/>
        <v>3.100083480756096E-2</v>
      </c>
      <c r="AJ84" s="62" t="str">
        <f t="shared" si="6"/>
        <v/>
      </c>
      <c r="BJ84">
        <v>1</v>
      </c>
      <c r="BK84">
        <v>26</v>
      </c>
      <c r="BL84" t="s">
        <v>14</v>
      </c>
      <c r="BM84">
        <v>1</v>
      </c>
      <c r="BN84">
        <v>31.42</v>
      </c>
      <c r="BO84">
        <v>31.42</v>
      </c>
      <c r="CD84" s="49" t="str">
        <v/>
      </c>
      <c r="CE84" s="49">
        <v>33.1</v>
      </c>
      <c r="CF84" s="49" t="str">
        <v/>
      </c>
    </row>
    <row r="85" spans="1:84">
      <c r="A85">
        <v>3</v>
      </c>
      <c r="B85" t="s">
        <v>226</v>
      </c>
      <c r="C85">
        <v>84</v>
      </c>
      <c r="D85">
        <v>2</v>
      </c>
      <c r="E85">
        <v>61</v>
      </c>
      <c r="F85" t="s">
        <v>14</v>
      </c>
      <c r="G85">
        <v>16.600000000000001</v>
      </c>
      <c r="H85">
        <v>13.53</v>
      </c>
      <c r="AH85" s="54">
        <f t="array" ref="AH85">MMULT(G71:H71-$AK$24:$AL$24,MMULT($AK$20:$AL$21,TRANSPOSE(G71:H71-$AK$24:$AL$24)))</f>
        <v>0.58910249812068805</v>
      </c>
      <c r="AI85" s="55">
        <f t="shared" si="5"/>
        <v>0.74486577169252299</v>
      </c>
      <c r="AJ85" s="62" t="str">
        <f t="shared" si="6"/>
        <v/>
      </c>
      <c r="BJ85">
        <v>2</v>
      </c>
      <c r="BK85">
        <v>61</v>
      </c>
      <c r="BL85" t="s">
        <v>14</v>
      </c>
      <c r="BM85">
        <v>2</v>
      </c>
      <c r="BN85">
        <v>13.53</v>
      </c>
      <c r="BO85">
        <v>13.53</v>
      </c>
      <c r="CD85" s="49" t="str">
        <v/>
      </c>
      <c r="CE85" s="49">
        <v>21.67</v>
      </c>
      <c r="CF85" s="49" t="str">
        <v/>
      </c>
    </row>
    <row r="86" spans="1:84">
      <c r="A86">
        <v>4</v>
      </c>
      <c r="B86" t="s">
        <v>227</v>
      </c>
      <c r="C86">
        <v>85</v>
      </c>
      <c r="D86">
        <v>1</v>
      </c>
      <c r="E86">
        <v>35</v>
      </c>
      <c r="F86" t="s">
        <v>14</v>
      </c>
      <c r="G86">
        <v>16.04</v>
      </c>
      <c r="H86">
        <v>16.62</v>
      </c>
      <c r="AH86" s="54">
        <f t="array" ref="AH86">MMULT(G72:H72-$AK$24:$AL$24,MMULT($AK$20:$AL$21,TRANSPOSE(G72:H72-$AK$24:$AL$24)))</f>
        <v>3.6149832732094995</v>
      </c>
      <c r="AI86" s="55">
        <f t="shared" si="5"/>
        <v>0.16406515612634709</v>
      </c>
      <c r="AJ86" s="62" t="str">
        <f t="shared" si="6"/>
        <v/>
      </c>
      <c r="BJ86">
        <v>1</v>
      </c>
      <c r="BK86">
        <v>35</v>
      </c>
      <c r="BL86" t="s">
        <v>14</v>
      </c>
      <c r="BM86">
        <v>1</v>
      </c>
      <c r="BN86">
        <v>16.62</v>
      </c>
      <c r="BO86">
        <v>16.62</v>
      </c>
      <c r="CD86" s="49" t="str">
        <v/>
      </c>
      <c r="CE86" s="49">
        <v>32.96</v>
      </c>
      <c r="CF86" s="49" t="str">
        <v/>
      </c>
    </row>
    <row r="87" spans="1:84">
      <c r="A87">
        <v>5</v>
      </c>
      <c r="B87" t="s">
        <v>228</v>
      </c>
      <c r="C87">
        <v>86</v>
      </c>
      <c r="D87">
        <v>1</v>
      </c>
      <c r="E87">
        <v>25</v>
      </c>
      <c r="F87" t="s">
        <v>14</v>
      </c>
      <c r="G87">
        <v>26.16</v>
      </c>
      <c r="H87">
        <v>24.05</v>
      </c>
      <c r="AH87" s="54">
        <f t="array" ref="AH87">MMULT(G73:H73-$AK$24:$AL$24,MMULT($AK$20:$AL$21,TRANSPOSE(G73:H73-$AK$24:$AL$24)))</f>
        <v>6.4475134826743313E-3</v>
      </c>
      <c r="AI87" s="55">
        <f t="shared" si="5"/>
        <v>0.99678143398305075</v>
      </c>
      <c r="AJ87" s="62" t="str">
        <f t="shared" si="6"/>
        <v/>
      </c>
      <c r="BJ87">
        <v>1</v>
      </c>
      <c r="BK87">
        <v>25</v>
      </c>
      <c r="BL87" t="s">
        <v>14</v>
      </c>
      <c r="BM87">
        <v>1</v>
      </c>
      <c r="BN87">
        <v>24.05</v>
      </c>
      <c r="BO87">
        <v>24.05</v>
      </c>
      <c r="CD87" s="49" t="str">
        <v/>
      </c>
      <c r="CE87" s="49">
        <v>12.52</v>
      </c>
      <c r="CF87" s="49" t="str">
        <v/>
      </c>
    </row>
    <row r="88" spans="1:84">
      <c r="A88">
        <v>6</v>
      </c>
      <c r="B88" t="s">
        <v>229</v>
      </c>
      <c r="C88">
        <v>87</v>
      </c>
      <c r="D88">
        <v>2</v>
      </c>
      <c r="E88">
        <v>62</v>
      </c>
      <c r="F88" t="s">
        <v>14</v>
      </c>
      <c r="G88">
        <v>7.9</v>
      </c>
      <c r="H88">
        <v>23.02</v>
      </c>
      <c r="AH88" s="54">
        <f t="array" ref="AH88">MMULT(G74:H74-$AK$24:$AL$24,MMULT($AK$20:$AL$21,TRANSPOSE(G74:H74-$AK$24:$AL$24)))</f>
        <v>0.47599311264872812</v>
      </c>
      <c r="AI88" s="55">
        <f t="shared" si="5"/>
        <v>0.78820540541284756</v>
      </c>
      <c r="AJ88" s="62" t="str">
        <f t="shared" si="6"/>
        <v/>
      </c>
      <c r="BJ88">
        <v>2</v>
      </c>
      <c r="BK88">
        <v>62</v>
      </c>
      <c r="BL88" t="s">
        <v>14</v>
      </c>
      <c r="BM88">
        <v>2</v>
      </c>
      <c r="BN88">
        <v>23.02</v>
      </c>
      <c r="BO88">
        <v>23.02</v>
      </c>
      <c r="CD88" s="49" t="str">
        <v/>
      </c>
      <c r="CE88" s="49">
        <v>26.43</v>
      </c>
      <c r="CF88" s="49" t="str">
        <v/>
      </c>
    </row>
    <row r="89" spans="1:84">
      <c r="A89">
        <v>7</v>
      </c>
      <c r="B89" t="s">
        <v>230</v>
      </c>
      <c r="C89">
        <v>88</v>
      </c>
      <c r="D89">
        <v>1</v>
      </c>
      <c r="E89">
        <v>35</v>
      </c>
      <c r="F89" t="s">
        <v>14</v>
      </c>
      <c r="G89">
        <v>22.37</v>
      </c>
      <c r="H89">
        <v>19.329999999999998</v>
      </c>
      <c r="AH89" s="54">
        <f t="array" ref="AH89">MMULT(G75:H75-$AK$24:$AL$24,MMULT($AK$20:$AL$21,TRANSPOSE(G75:H75-$AK$24:$AL$24)))</f>
        <v>5.549439740985453</v>
      </c>
      <c r="AI89" s="55">
        <f t="shared" si="5"/>
        <v>6.2366945064446636E-2</v>
      </c>
      <c r="AJ89" s="62" t="str">
        <f t="shared" si="6"/>
        <v/>
      </c>
      <c r="BJ89">
        <v>1</v>
      </c>
      <c r="BK89">
        <v>35</v>
      </c>
      <c r="BL89" t="s">
        <v>14</v>
      </c>
      <c r="BM89">
        <v>1</v>
      </c>
      <c r="BN89">
        <v>19.329999999999998</v>
      </c>
      <c r="BO89">
        <v>19.329999999999998</v>
      </c>
      <c r="CD89" s="50" t="str">
        <v/>
      </c>
      <c r="CE89" s="50">
        <v>26.48</v>
      </c>
      <c r="CF89" s="50" t="str">
        <v/>
      </c>
    </row>
    <row r="90" spans="1:84">
      <c r="A90">
        <v>8</v>
      </c>
      <c r="B90" t="s">
        <v>231</v>
      </c>
      <c r="C90">
        <v>89</v>
      </c>
      <c r="D90">
        <v>2</v>
      </c>
      <c r="E90">
        <v>60</v>
      </c>
      <c r="F90" t="s">
        <v>14</v>
      </c>
      <c r="G90">
        <v>34.28</v>
      </c>
      <c r="H90">
        <v>33.1</v>
      </c>
      <c r="AH90" s="54">
        <f t="array" ref="AH90">MMULT(G76:H76-$AK$24:$AL$24,MMULT($AK$20:$AL$21,TRANSPOSE(G76:H76-$AK$24:$AL$24)))</f>
        <v>0.67033529270818648</v>
      </c>
      <c r="AI90" s="55">
        <f t="shared" si="5"/>
        <v>0.71521817258227294</v>
      </c>
      <c r="AJ90" s="62" t="str">
        <f t="shared" si="6"/>
        <v/>
      </c>
      <c r="BJ90">
        <v>2</v>
      </c>
      <c r="BK90">
        <v>60</v>
      </c>
      <c r="BL90" t="s">
        <v>14</v>
      </c>
      <c r="BM90">
        <v>2</v>
      </c>
      <c r="BN90">
        <v>33.1</v>
      </c>
      <c r="BO90">
        <v>33.1</v>
      </c>
    </row>
    <row r="91" spans="1:84">
      <c r="A91">
        <v>9</v>
      </c>
      <c r="B91" t="s">
        <v>232</v>
      </c>
      <c r="C91">
        <v>90</v>
      </c>
      <c r="D91">
        <v>2</v>
      </c>
      <c r="E91">
        <v>60</v>
      </c>
      <c r="F91" t="s">
        <v>14</v>
      </c>
      <c r="G91">
        <v>30.33</v>
      </c>
      <c r="H91">
        <v>28.92</v>
      </c>
      <c r="AH91" s="54">
        <f t="array" ref="AH91">MMULT(G77:H77-$AK$24:$AL$24,MMULT($AK$20:$AL$21,TRANSPOSE(G77:H77-$AK$24:$AL$24)))</f>
        <v>4.4130641936505883</v>
      </c>
      <c r="AI91" s="55">
        <f t="shared" si="5"/>
        <v>0.1100817401552909</v>
      </c>
      <c r="AJ91" s="62" t="str">
        <f t="shared" si="6"/>
        <v/>
      </c>
      <c r="BJ91">
        <v>2</v>
      </c>
      <c r="BK91">
        <v>60</v>
      </c>
      <c r="BL91" t="s">
        <v>14</v>
      </c>
      <c r="BM91">
        <v>2</v>
      </c>
      <c r="BN91">
        <v>28.92</v>
      </c>
      <c r="BO91">
        <v>28.92</v>
      </c>
    </row>
    <row r="92" spans="1:84">
      <c r="A92">
        <v>10</v>
      </c>
      <c r="B92" t="s">
        <v>233</v>
      </c>
      <c r="C92">
        <v>91</v>
      </c>
      <c r="D92">
        <v>2</v>
      </c>
      <c r="E92">
        <v>44</v>
      </c>
      <c r="F92" t="s">
        <v>14</v>
      </c>
      <c r="G92">
        <v>17.41</v>
      </c>
      <c r="H92">
        <v>23.55</v>
      </c>
      <c r="AH92" s="54">
        <f t="array" ref="AH92">MMULT(G78:H78-$AK$24:$AL$24,MMULT($AK$20:$AL$21,TRANSPOSE(G78:H78-$AK$24:$AL$24)))</f>
        <v>0.7214979514823805</v>
      </c>
      <c r="AI92" s="55">
        <f t="shared" si="5"/>
        <v>0.69715397906463739</v>
      </c>
      <c r="AJ92" s="62" t="str">
        <f t="shared" si="6"/>
        <v/>
      </c>
      <c r="BJ92">
        <v>2</v>
      </c>
      <c r="BK92">
        <v>44</v>
      </c>
      <c r="BL92" t="s">
        <v>14</v>
      </c>
      <c r="BM92">
        <v>2</v>
      </c>
      <c r="BN92">
        <v>23.55</v>
      </c>
      <c r="BO92">
        <v>23.55</v>
      </c>
    </row>
    <row r="93" spans="1:84">
      <c r="A93">
        <v>11</v>
      </c>
      <c r="B93" t="s">
        <v>234</v>
      </c>
      <c r="C93">
        <v>92</v>
      </c>
      <c r="D93">
        <v>1</v>
      </c>
      <c r="E93">
        <v>19</v>
      </c>
      <c r="F93" t="s">
        <v>14</v>
      </c>
      <c r="G93">
        <v>3.76</v>
      </c>
      <c r="H93">
        <v>10.3</v>
      </c>
      <c r="AH93" s="54">
        <f t="array" ref="AH93">MMULT(G79:H79-$AK$24:$AL$24,MMULT($AK$20:$AL$21,TRANSPOSE(G79:H79-$AK$24:$AL$24)))</f>
        <v>5.325399880199428E-2</v>
      </c>
      <c r="AI93" s="55">
        <f t="shared" si="5"/>
        <v>0.97372437357049668</v>
      </c>
      <c r="AJ93" s="62" t="str">
        <f t="shared" si="6"/>
        <v/>
      </c>
      <c r="BJ93">
        <v>1</v>
      </c>
      <c r="BK93">
        <v>19</v>
      </c>
      <c r="BL93" t="s">
        <v>14</v>
      </c>
      <c r="BM93">
        <v>1</v>
      </c>
      <c r="BN93">
        <v>10.3</v>
      </c>
      <c r="BO93">
        <v>10.3</v>
      </c>
    </row>
    <row r="94" spans="1:84">
      <c r="A94">
        <v>12</v>
      </c>
      <c r="B94" t="s">
        <v>235</v>
      </c>
      <c r="C94">
        <v>93</v>
      </c>
      <c r="D94">
        <v>2</v>
      </c>
      <c r="E94">
        <v>61</v>
      </c>
      <c r="F94" t="s">
        <v>14</v>
      </c>
      <c r="G94">
        <v>19.98</v>
      </c>
      <c r="H94">
        <v>25.07</v>
      </c>
      <c r="AH94" s="54">
        <f t="array" ref="AH94">MMULT(G80:H80-$AK$24:$AL$24,MMULT($AK$20:$AL$21,TRANSPOSE(G80:H80-$AK$24:$AL$24)))</f>
        <v>7.7900021488618826E-2</v>
      </c>
      <c r="AI94" s="55">
        <f t="shared" si="5"/>
        <v>0.96179878755016868</v>
      </c>
      <c r="AJ94" s="62" t="str">
        <f t="shared" si="6"/>
        <v/>
      </c>
      <c r="BJ94">
        <v>2</v>
      </c>
      <c r="BK94">
        <v>61</v>
      </c>
      <c r="BL94" t="s">
        <v>14</v>
      </c>
      <c r="BM94">
        <v>2</v>
      </c>
      <c r="BN94">
        <v>25.07</v>
      </c>
      <c r="BO94">
        <v>25.07</v>
      </c>
    </row>
    <row r="95" spans="1:84">
      <c r="A95">
        <v>13</v>
      </c>
      <c r="B95" t="s">
        <v>236</v>
      </c>
      <c r="C95">
        <v>94</v>
      </c>
      <c r="D95">
        <v>2</v>
      </c>
      <c r="E95">
        <v>24</v>
      </c>
      <c r="F95" t="s">
        <v>14</v>
      </c>
      <c r="G95">
        <v>2.56</v>
      </c>
      <c r="H95">
        <v>8.67</v>
      </c>
      <c r="AH95" s="54">
        <f t="array" ref="AH95">MMULT(G81:H81-$AK$24:$AL$24,MMULT($AK$20:$AL$21,TRANSPOSE(G81:H81-$AK$24:$AL$24)))</f>
        <v>0.63088240595789447</v>
      </c>
      <c r="AI95" s="55">
        <f t="shared" si="5"/>
        <v>0.72946696026365776</v>
      </c>
      <c r="AJ95" s="62" t="str">
        <f t="shared" si="6"/>
        <v/>
      </c>
      <c r="BJ95">
        <v>2</v>
      </c>
      <c r="BK95">
        <v>24</v>
      </c>
      <c r="BL95" t="s">
        <v>14</v>
      </c>
      <c r="BM95">
        <v>2</v>
      </c>
      <c r="BN95">
        <v>8.67</v>
      </c>
      <c r="BO95">
        <v>8.67</v>
      </c>
    </row>
    <row r="96" spans="1:84">
      <c r="A96">
        <v>14</v>
      </c>
      <c r="B96" t="s">
        <v>237</v>
      </c>
      <c r="C96">
        <v>95</v>
      </c>
      <c r="D96">
        <v>2</v>
      </c>
      <c r="E96">
        <v>27</v>
      </c>
      <c r="F96" t="s">
        <v>14</v>
      </c>
      <c r="G96">
        <v>4.01</v>
      </c>
      <c r="H96">
        <v>19.98</v>
      </c>
      <c r="AH96" s="54">
        <f t="array" ref="AH96">MMULT(G82:H82-$AK$24:$AL$24,MMULT($AK$20:$AL$21,TRANSPOSE(G82:H82-$AK$24:$AL$24)))</f>
        <v>0.86729294371607424</v>
      </c>
      <c r="AI96" s="55">
        <f t="shared" si="5"/>
        <v>0.64814135119469152</v>
      </c>
      <c r="AJ96" s="62" t="str">
        <f t="shared" si="6"/>
        <v/>
      </c>
      <c r="BJ96">
        <v>2</v>
      </c>
      <c r="BK96">
        <v>27</v>
      </c>
      <c r="BL96" t="s">
        <v>14</v>
      </c>
      <c r="BM96">
        <v>2</v>
      </c>
      <c r="BN96">
        <v>19.98</v>
      </c>
      <c r="BO96">
        <v>19.98</v>
      </c>
    </row>
    <row r="97" spans="1:67">
      <c r="A97">
        <v>15</v>
      </c>
      <c r="B97" t="s">
        <v>238</v>
      </c>
      <c r="C97">
        <v>96</v>
      </c>
      <c r="D97">
        <v>1</v>
      </c>
      <c r="E97">
        <v>25</v>
      </c>
      <c r="F97" t="s">
        <v>14</v>
      </c>
      <c r="G97">
        <v>12.84</v>
      </c>
      <c r="H97">
        <v>15.68</v>
      </c>
      <c r="AH97" s="54">
        <f t="array" ref="AH97">MMULT(G83:H83-$AK$24:$AL$24,MMULT($AK$20:$AL$21,TRANSPOSE(G83:H83-$AK$24:$AL$24)))</f>
        <v>0.43909110390974482</v>
      </c>
      <c r="AI97" s="55">
        <f t="shared" si="5"/>
        <v>0.80288358394325055</v>
      </c>
      <c r="AJ97" s="62" t="str">
        <f t="shared" si="6"/>
        <v/>
      </c>
      <c r="BJ97">
        <v>1</v>
      </c>
      <c r="BK97">
        <v>25</v>
      </c>
      <c r="BL97" t="s">
        <v>14</v>
      </c>
      <c r="BM97">
        <v>1</v>
      </c>
      <c r="BN97">
        <v>15.68</v>
      </c>
      <c r="BO97">
        <v>15.68</v>
      </c>
    </row>
    <row r="98" spans="1:67">
      <c r="A98">
        <v>16</v>
      </c>
      <c r="B98" t="s">
        <v>239</v>
      </c>
      <c r="C98">
        <v>97</v>
      </c>
      <c r="D98">
        <v>2</v>
      </c>
      <c r="E98">
        <v>25</v>
      </c>
      <c r="F98" t="s">
        <v>14</v>
      </c>
      <c r="G98">
        <v>6.84</v>
      </c>
      <c r="H98">
        <v>4.4800000000000004</v>
      </c>
      <c r="AH98" s="54">
        <f t="array" ref="AH98">MMULT(G84:H84-$AK$24:$AL$24,MMULT($AK$20:$AL$21,TRANSPOSE(G84:H84-$AK$24:$AL$24)))</f>
        <v>3.7636339379540384</v>
      </c>
      <c r="AI98" s="55">
        <f t="shared" si="5"/>
        <v>0.15231310599471748</v>
      </c>
      <c r="AJ98" s="62" t="str">
        <f t="shared" si="6"/>
        <v/>
      </c>
      <c r="BJ98">
        <v>2</v>
      </c>
      <c r="BK98">
        <v>25</v>
      </c>
      <c r="BL98" t="s">
        <v>14</v>
      </c>
      <c r="BM98">
        <v>2</v>
      </c>
      <c r="BN98">
        <v>4.4800000000000004</v>
      </c>
      <c r="BO98">
        <v>4.4800000000000004</v>
      </c>
    </row>
    <row r="99" spans="1:67">
      <c r="A99">
        <v>17</v>
      </c>
      <c r="B99" t="s">
        <v>240</v>
      </c>
      <c r="C99">
        <v>98</v>
      </c>
      <c r="D99">
        <v>1</v>
      </c>
      <c r="E99">
        <v>37</v>
      </c>
      <c r="F99" t="s">
        <v>14</v>
      </c>
      <c r="G99">
        <v>33.409999999999997</v>
      </c>
      <c r="H99">
        <v>33.17</v>
      </c>
      <c r="AH99" s="54">
        <f t="array" ref="AH99">MMULT(G85:H85-$AK$24:$AL$24,MMULT($AK$20:$AL$21,TRANSPOSE(G85:H85-$AK$24:$AL$24)))</f>
        <v>1.0831927732243418</v>
      </c>
      <c r="AI99" s="55">
        <f t="shared" si="5"/>
        <v>0.58181870302311256</v>
      </c>
      <c r="AJ99" s="62" t="str">
        <f t="shared" si="6"/>
        <v/>
      </c>
      <c r="BJ99">
        <v>1</v>
      </c>
      <c r="BK99">
        <v>37</v>
      </c>
      <c r="BL99" t="s">
        <v>14</v>
      </c>
      <c r="BM99">
        <v>1</v>
      </c>
      <c r="BN99">
        <v>33.17</v>
      </c>
      <c r="BO99">
        <v>33.17</v>
      </c>
    </row>
    <row r="100" spans="1:67">
      <c r="A100">
        <v>18</v>
      </c>
      <c r="B100" t="s">
        <v>241</v>
      </c>
      <c r="C100">
        <v>99</v>
      </c>
      <c r="D100">
        <v>2</v>
      </c>
      <c r="E100">
        <v>63</v>
      </c>
      <c r="F100" t="s">
        <v>14</v>
      </c>
      <c r="G100">
        <v>13.62</v>
      </c>
      <c r="H100">
        <v>27.64</v>
      </c>
      <c r="AH100" s="54">
        <f t="array" ref="AH100">MMULT(G86:H86-$AK$24:$AL$24,MMULT($AK$20:$AL$21,TRANSPOSE(G86:H86-$AK$24:$AL$24)))</f>
        <v>0.42694513102435827</v>
      </c>
      <c r="AI100" s="55">
        <f t="shared" si="5"/>
        <v>0.80777432072134325</v>
      </c>
      <c r="AJ100" s="62" t="str">
        <f t="shared" si="6"/>
        <v/>
      </c>
      <c r="BJ100">
        <v>2</v>
      </c>
      <c r="BK100">
        <v>63</v>
      </c>
      <c r="BL100" t="s">
        <v>14</v>
      </c>
      <c r="BM100">
        <v>2</v>
      </c>
      <c r="BN100">
        <v>27.64</v>
      </c>
      <c r="BO100">
        <v>27.64</v>
      </c>
    </row>
    <row r="101" spans="1:67">
      <c r="A101">
        <v>19</v>
      </c>
      <c r="B101" t="s">
        <v>242</v>
      </c>
      <c r="C101">
        <v>100</v>
      </c>
      <c r="D101">
        <v>1</v>
      </c>
      <c r="E101">
        <v>43</v>
      </c>
      <c r="F101" t="s">
        <v>14</v>
      </c>
      <c r="G101">
        <v>18.690000000000001</v>
      </c>
      <c r="H101">
        <v>15.7</v>
      </c>
      <c r="AH101" s="54">
        <f t="array" ref="AH101">MMULT(G87:H87-$AK$24:$AL$24,MMULT($AK$20:$AL$21,TRANSPOSE(G87:H87-$AK$24:$AL$24)))</f>
        <v>0.29895862499431208</v>
      </c>
      <c r="AI101" s="55">
        <f t="shared" si="5"/>
        <v>0.86115625300785981</v>
      </c>
      <c r="AJ101" s="62" t="str">
        <f t="shared" si="6"/>
        <v/>
      </c>
      <c r="BJ101">
        <v>1</v>
      </c>
      <c r="BK101">
        <v>43</v>
      </c>
      <c r="BL101" t="s">
        <v>14</v>
      </c>
      <c r="BM101">
        <v>1</v>
      </c>
      <c r="BN101">
        <v>15.7</v>
      </c>
      <c r="BO101">
        <v>15.7</v>
      </c>
    </row>
    <row r="102" spans="1:67">
      <c r="A102">
        <v>20</v>
      </c>
      <c r="B102" t="s">
        <v>243</v>
      </c>
      <c r="C102">
        <v>101</v>
      </c>
      <c r="D102">
        <v>1</v>
      </c>
      <c r="E102">
        <v>55</v>
      </c>
      <c r="F102" t="s">
        <v>14</v>
      </c>
      <c r="G102">
        <v>2.5299999999999998</v>
      </c>
      <c r="H102">
        <v>11.46</v>
      </c>
      <c r="AH102" s="54">
        <f t="array" ref="AH102">MMULT(G88:H88-$AK$24:$AL$24,MMULT($AK$20:$AL$21,TRANSPOSE(G88:H88-$AK$24:$AL$24)))</f>
        <v>4.9784685952280396</v>
      </c>
      <c r="AI102" s="55">
        <f t="shared" si="5"/>
        <v>8.2973475245668171E-2</v>
      </c>
      <c r="AJ102" s="62" t="str">
        <f t="shared" si="6"/>
        <v/>
      </c>
      <c r="BJ102">
        <v>1</v>
      </c>
      <c r="BK102">
        <v>55</v>
      </c>
      <c r="BL102" t="s">
        <v>14</v>
      </c>
      <c r="BM102">
        <v>1</v>
      </c>
      <c r="BN102">
        <v>11.46</v>
      </c>
      <c r="BO102">
        <v>11.46</v>
      </c>
    </row>
    <row r="103" spans="1:67">
      <c r="A103">
        <v>21</v>
      </c>
      <c r="B103" t="s">
        <v>244</v>
      </c>
      <c r="C103">
        <v>102</v>
      </c>
      <c r="D103">
        <v>2</v>
      </c>
      <c r="E103">
        <v>27</v>
      </c>
      <c r="F103" t="s">
        <v>14</v>
      </c>
      <c r="G103">
        <v>9.06</v>
      </c>
      <c r="H103">
        <v>16.61</v>
      </c>
      <c r="AH103" s="54">
        <f t="array" ref="AH103">MMULT(G89:H89-$AK$24:$AL$24,MMULT($AK$20:$AL$21,TRANSPOSE(G89:H89-$AK$24:$AL$24)))</f>
        <v>0.37532871960631836</v>
      </c>
      <c r="AI103" s="55">
        <f t="shared" si="5"/>
        <v>0.82889287031486591</v>
      </c>
      <c r="AJ103" s="62" t="str">
        <f t="shared" si="6"/>
        <v/>
      </c>
      <c r="BJ103">
        <v>2</v>
      </c>
      <c r="BK103">
        <v>27</v>
      </c>
      <c r="BL103" t="s">
        <v>14</v>
      </c>
      <c r="BM103">
        <v>2</v>
      </c>
      <c r="BN103">
        <v>16.61</v>
      </c>
      <c r="BO103">
        <v>16.61</v>
      </c>
    </row>
    <row r="104" spans="1:67">
      <c r="A104">
        <v>22</v>
      </c>
      <c r="B104" t="s">
        <v>245</v>
      </c>
      <c r="C104">
        <v>103</v>
      </c>
      <c r="D104">
        <v>2</v>
      </c>
      <c r="E104">
        <v>36</v>
      </c>
      <c r="F104" t="s">
        <v>14</v>
      </c>
      <c r="G104">
        <v>11.72</v>
      </c>
      <c r="H104">
        <v>22.13</v>
      </c>
      <c r="AH104" s="54">
        <f t="array" ref="AH104">MMULT(G90:H90-$AK$24:$AL$24,MMULT($AK$20:$AL$21,TRANSPOSE(G90:H90-$AK$24:$AL$24)))</f>
        <v>1.8664132311504973</v>
      </c>
      <c r="AI104" s="55">
        <f t="shared" si="5"/>
        <v>0.39329055460847756</v>
      </c>
      <c r="AJ104" s="62" t="str">
        <f t="shared" si="6"/>
        <v/>
      </c>
      <c r="BJ104">
        <v>2</v>
      </c>
      <c r="BK104">
        <v>36</v>
      </c>
      <c r="BL104" t="s">
        <v>14</v>
      </c>
      <c r="BM104">
        <v>2</v>
      </c>
      <c r="BN104">
        <v>22.13</v>
      </c>
      <c r="BO104">
        <v>22.13</v>
      </c>
    </row>
    <row r="105" spans="1:67">
      <c r="A105">
        <v>23</v>
      </c>
      <c r="B105" t="s">
        <v>246</v>
      </c>
      <c r="C105">
        <v>104</v>
      </c>
      <c r="D105">
        <v>1</v>
      </c>
      <c r="E105">
        <v>20</v>
      </c>
      <c r="F105" t="s">
        <v>14</v>
      </c>
      <c r="G105">
        <v>23.52</v>
      </c>
      <c r="H105">
        <v>23.95</v>
      </c>
      <c r="AH105" s="54">
        <f t="array" ref="AH105">MMULT(G91:H91-$AK$24:$AL$24,MMULT($AK$20:$AL$21,TRANSPOSE(G91:H91-$AK$24:$AL$24)))</f>
        <v>0.84783630228944951</v>
      </c>
      <c r="AI105" s="55">
        <f t="shared" si="5"/>
        <v>0.65447744794658713</v>
      </c>
      <c r="AJ105" s="62" t="str">
        <f t="shared" si="6"/>
        <v/>
      </c>
      <c r="BJ105">
        <v>1</v>
      </c>
      <c r="BK105">
        <v>20</v>
      </c>
      <c r="BL105" t="s">
        <v>14</v>
      </c>
      <c r="BM105">
        <v>1</v>
      </c>
      <c r="BN105">
        <v>23.95</v>
      </c>
      <c r="BO105">
        <v>23.95</v>
      </c>
    </row>
    <row r="106" spans="1:67">
      <c r="A106">
        <v>24</v>
      </c>
      <c r="B106" t="s">
        <v>247</v>
      </c>
      <c r="C106">
        <v>105</v>
      </c>
      <c r="D106">
        <v>1</v>
      </c>
      <c r="E106">
        <v>48</v>
      </c>
      <c r="F106" t="s">
        <v>14</v>
      </c>
      <c r="G106">
        <v>12.92</v>
      </c>
      <c r="H106">
        <v>19.28</v>
      </c>
      <c r="AH106" s="54">
        <f t="array" ref="AH106">MMULT(G92:H92-$AK$24:$AL$24,MMULT($AK$20:$AL$21,TRANSPOSE(G92:H92-$AK$24:$AL$24)))</f>
        <v>0.66074902146372572</v>
      </c>
      <c r="AI106" s="55">
        <f t="shared" si="5"/>
        <v>0.71865453918957778</v>
      </c>
      <c r="AJ106" s="62" t="str">
        <f t="shared" si="6"/>
        <v/>
      </c>
      <c r="BJ106">
        <v>1</v>
      </c>
      <c r="BK106">
        <v>48</v>
      </c>
      <c r="BL106" t="s">
        <v>14</v>
      </c>
      <c r="BM106">
        <v>1</v>
      </c>
      <c r="BN106">
        <v>19.28</v>
      </c>
      <c r="BO106">
        <v>19.28</v>
      </c>
    </row>
    <row r="107" spans="1:67">
      <c r="A107">
        <v>25</v>
      </c>
      <c r="B107" t="s">
        <v>248</v>
      </c>
      <c r="C107">
        <v>106</v>
      </c>
      <c r="D107">
        <v>1</v>
      </c>
      <c r="E107">
        <v>47</v>
      </c>
      <c r="F107" t="s">
        <v>14</v>
      </c>
      <c r="G107">
        <v>26.97</v>
      </c>
      <c r="H107">
        <v>27.47</v>
      </c>
      <c r="AH107" s="54">
        <f t="array" ref="AH107">MMULT(G93:H93-$AK$24:$AL$24,MMULT($AK$20:$AL$21,TRANSPOSE(G93:H93-$AK$24:$AL$24)))</f>
        <v>3.4261224726946562</v>
      </c>
      <c r="AI107" s="55">
        <f t="shared" si="5"/>
        <v>0.18031296627653701</v>
      </c>
      <c r="AJ107" s="62" t="str">
        <f t="shared" si="6"/>
        <v/>
      </c>
      <c r="BJ107">
        <v>1</v>
      </c>
      <c r="BK107">
        <v>47</v>
      </c>
      <c r="BL107" t="s">
        <v>14</v>
      </c>
      <c r="BM107">
        <v>1</v>
      </c>
      <c r="BN107">
        <v>27.47</v>
      </c>
      <c r="BO107">
        <v>27.47</v>
      </c>
    </row>
    <row r="108" spans="1:67">
      <c r="A108">
        <v>26</v>
      </c>
      <c r="B108" t="s">
        <v>249</v>
      </c>
      <c r="C108">
        <v>107</v>
      </c>
      <c r="D108">
        <v>1</v>
      </c>
      <c r="E108">
        <v>69</v>
      </c>
      <c r="F108" t="s">
        <v>14</v>
      </c>
      <c r="G108">
        <v>20.85</v>
      </c>
      <c r="H108">
        <v>11.31</v>
      </c>
      <c r="AH108" s="54">
        <f t="array" ref="AH108">MMULT(G94:H94-$AK$24:$AL$24,MMULT($AK$20:$AL$21,TRANSPOSE(G94:H94-$AK$24:$AL$24)))</f>
        <v>0.44157345850978835</v>
      </c>
      <c r="AI108" s="55">
        <f t="shared" si="5"/>
        <v>0.8018876812380662</v>
      </c>
      <c r="AJ108" s="62" t="str">
        <f t="shared" si="6"/>
        <v/>
      </c>
      <c r="BJ108">
        <v>1</v>
      </c>
      <c r="BK108">
        <v>69</v>
      </c>
      <c r="BL108" t="s">
        <v>14</v>
      </c>
      <c r="BM108">
        <v>1</v>
      </c>
      <c r="BN108">
        <v>11.31</v>
      </c>
      <c r="BO108">
        <v>11.31</v>
      </c>
    </row>
    <row r="109" spans="1:67">
      <c r="A109">
        <v>27</v>
      </c>
      <c r="B109" t="s">
        <v>250</v>
      </c>
      <c r="C109">
        <v>108</v>
      </c>
      <c r="D109">
        <v>2</v>
      </c>
      <c r="E109">
        <v>28</v>
      </c>
      <c r="F109" t="s">
        <v>14</v>
      </c>
      <c r="G109">
        <v>18.43</v>
      </c>
      <c r="H109">
        <v>8.26</v>
      </c>
      <c r="AH109" s="54">
        <f t="array" ref="AH109">MMULT(G95:H95-$AK$24:$AL$24,MMULT($AK$20:$AL$21,TRANSPOSE(G95:H95-$AK$24:$AL$24)))</f>
        <v>3.9056268895073112</v>
      </c>
      <c r="AI109" s="55">
        <f t="shared" si="5"/>
        <v>0.14187435390170169</v>
      </c>
      <c r="AJ109" s="62" t="str">
        <f t="shared" si="6"/>
        <v/>
      </c>
      <c r="BJ109">
        <v>2</v>
      </c>
      <c r="BK109">
        <v>28</v>
      </c>
      <c r="BL109" t="s">
        <v>14</v>
      </c>
      <c r="BM109">
        <v>2</v>
      </c>
      <c r="BN109">
        <v>8.26</v>
      </c>
      <c r="BO109">
        <v>8.26</v>
      </c>
    </row>
    <row r="110" spans="1:67">
      <c r="A110">
        <v>1</v>
      </c>
      <c r="B110" t="s">
        <v>251</v>
      </c>
      <c r="C110">
        <v>109</v>
      </c>
      <c r="D110">
        <v>1</v>
      </c>
      <c r="E110">
        <v>59</v>
      </c>
      <c r="F110" t="s">
        <v>15</v>
      </c>
      <c r="G110">
        <v>16.559999999999999</v>
      </c>
      <c r="H110">
        <v>16.600000000000001</v>
      </c>
      <c r="AH110" s="54">
        <f t="array" ref="AH110">MMULT(G96:H96-$AK$24:$AL$24,MMULT($AK$20:$AL$21,TRANSPOSE(G96:H96-$AK$24:$AL$24)))</f>
        <v>6.1058510768295458</v>
      </c>
      <c r="AI110" s="55">
        <f t="shared" si="5"/>
        <v>4.7220576508249332E-2</v>
      </c>
      <c r="AJ110" s="62" t="str">
        <f t="shared" si="6"/>
        <v/>
      </c>
      <c r="BJ110">
        <v>1</v>
      </c>
      <c r="BK110">
        <v>59</v>
      </c>
      <c r="BL110" t="s">
        <v>15</v>
      </c>
      <c r="BM110">
        <v>1</v>
      </c>
      <c r="BN110">
        <v>16.600000000000001</v>
      </c>
      <c r="BO110">
        <v>16.600000000000001</v>
      </c>
    </row>
    <row r="111" spans="1:67">
      <c r="A111">
        <v>2</v>
      </c>
      <c r="B111" t="s">
        <v>252</v>
      </c>
      <c r="C111">
        <v>110</v>
      </c>
      <c r="D111">
        <v>1</v>
      </c>
      <c r="E111">
        <v>21</v>
      </c>
      <c r="F111" t="s">
        <v>15</v>
      </c>
      <c r="G111">
        <v>6.29</v>
      </c>
      <c r="H111">
        <v>2.95</v>
      </c>
      <c r="AH111" s="54">
        <f t="array" ref="AH111">MMULT(G97:H97-$AK$24:$AL$24,MMULT($AK$20:$AL$21,TRANSPOSE(G97:H97-$AK$24:$AL$24)))</f>
        <v>0.82740419266585696</v>
      </c>
      <c r="AI111" s="55">
        <f t="shared" si="5"/>
        <v>0.66119789520693695</v>
      </c>
      <c r="AJ111" s="62" t="str">
        <f t="shared" si="6"/>
        <v/>
      </c>
      <c r="BJ111">
        <v>1</v>
      </c>
      <c r="BK111">
        <v>21</v>
      </c>
      <c r="BL111" t="s">
        <v>15</v>
      </c>
      <c r="BM111">
        <v>1</v>
      </c>
      <c r="BN111">
        <v>2.95</v>
      </c>
      <c r="BO111">
        <v>2.95</v>
      </c>
    </row>
    <row r="112" spans="1:67">
      <c r="A112">
        <v>3</v>
      </c>
      <c r="B112" t="s">
        <v>253</v>
      </c>
      <c r="C112">
        <v>111</v>
      </c>
      <c r="D112">
        <v>1</v>
      </c>
      <c r="E112">
        <v>47</v>
      </c>
      <c r="F112" t="s">
        <v>15</v>
      </c>
      <c r="G112">
        <v>4.88</v>
      </c>
      <c r="H112">
        <v>7.49</v>
      </c>
      <c r="AH112" s="54">
        <f t="array" ref="AH112">MMULT(G98:H98-$AK$24:$AL$24,MMULT($AK$20:$AL$21,TRANSPOSE(G98:H98-$AK$24:$AL$24)))</f>
        <v>3.987374311744349</v>
      </c>
      <c r="AI112" s="55">
        <f t="shared" ref="AI112:AI143" si="7">_xlfn.CHISQ.DIST.RT(AH112,COUNT($G$2:$H$2))</f>
        <v>0.13619233615916429</v>
      </c>
      <c r="AJ112" s="62" t="str">
        <f t="shared" ref="AJ112:AJ143" si="8">IF(AI112&lt;0.001,"*","")</f>
        <v/>
      </c>
      <c r="BJ112">
        <v>1</v>
      </c>
      <c r="BK112">
        <v>47</v>
      </c>
      <c r="BL112" t="s">
        <v>15</v>
      </c>
      <c r="BM112">
        <v>1</v>
      </c>
      <c r="BN112">
        <v>7.49</v>
      </c>
      <c r="BO112">
        <v>7.49</v>
      </c>
    </row>
    <row r="113" spans="1:67">
      <c r="A113">
        <v>4</v>
      </c>
      <c r="B113" t="s">
        <v>254</v>
      </c>
      <c r="C113">
        <v>112</v>
      </c>
      <c r="D113">
        <v>1</v>
      </c>
      <c r="E113">
        <v>33</v>
      </c>
      <c r="F113" t="s">
        <v>15</v>
      </c>
      <c r="G113">
        <v>20.2</v>
      </c>
      <c r="H113">
        <v>22.83</v>
      </c>
      <c r="AH113" s="54">
        <f t="array" ref="AH113">MMULT(G99:H99-$AK$24:$AL$24,MMULT($AK$20:$AL$21,TRANSPOSE(G99:H99-$AK$24:$AL$24)))</f>
        <v>1.719054122315693</v>
      </c>
      <c r="AI113" s="55">
        <f t="shared" si="7"/>
        <v>0.4233622594350393</v>
      </c>
      <c r="AJ113" s="62" t="str">
        <f t="shared" si="8"/>
        <v/>
      </c>
      <c r="BJ113">
        <v>1</v>
      </c>
      <c r="BK113">
        <v>33</v>
      </c>
      <c r="BL113" t="s">
        <v>15</v>
      </c>
      <c r="BM113">
        <v>1</v>
      </c>
      <c r="BN113">
        <v>22.83</v>
      </c>
      <c r="BO113">
        <v>22.83</v>
      </c>
    </row>
    <row r="114" spans="1:67">
      <c r="A114">
        <v>5</v>
      </c>
      <c r="B114" t="s">
        <v>255</v>
      </c>
      <c r="C114">
        <v>113</v>
      </c>
      <c r="D114">
        <v>2</v>
      </c>
      <c r="E114">
        <v>21</v>
      </c>
      <c r="F114" t="s">
        <v>15</v>
      </c>
      <c r="G114">
        <v>23.46</v>
      </c>
      <c r="H114">
        <v>26.15</v>
      </c>
      <c r="AH114" s="54">
        <f t="array" ref="AH114">MMULT(G100:H100-$AK$24:$AL$24,MMULT($AK$20:$AL$21,TRANSPOSE(G100:H100-$AK$24:$AL$24)))</f>
        <v>4.0200653716025423</v>
      </c>
      <c r="AI114" s="55">
        <f t="shared" si="7"/>
        <v>0.13398429521318556</v>
      </c>
      <c r="AJ114" s="62" t="str">
        <f t="shared" si="8"/>
        <v/>
      </c>
      <c r="BJ114">
        <v>2</v>
      </c>
      <c r="BK114">
        <v>21</v>
      </c>
      <c r="BL114" t="s">
        <v>15</v>
      </c>
      <c r="BM114">
        <v>2</v>
      </c>
      <c r="BN114">
        <v>26.15</v>
      </c>
      <c r="BO114">
        <v>26.15</v>
      </c>
    </row>
    <row r="115" spans="1:67">
      <c r="A115">
        <v>6</v>
      </c>
      <c r="B115" t="s">
        <v>256</v>
      </c>
      <c r="C115">
        <v>114</v>
      </c>
      <c r="D115">
        <v>1</v>
      </c>
      <c r="E115">
        <v>32</v>
      </c>
      <c r="F115" t="s">
        <v>15</v>
      </c>
      <c r="G115">
        <v>6.29</v>
      </c>
      <c r="H115">
        <v>2.95</v>
      </c>
      <c r="AH115" s="54">
        <f t="array" ref="AH115">MMULT(G101:H101-$AK$24:$AL$24,MMULT($AK$20:$AL$21,TRANSPOSE(G101:H101-$AK$24:$AL$24)))</f>
        <v>0.70411793768596509</v>
      </c>
      <c r="AI115" s="55">
        <f t="shared" si="7"/>
        <v>0.7032386515839979</v>
      </c>
      <c r="AJ115" s="62" t="str">
        <f t="shared" si="8"/>
        <v/>
      </c>
      <c r="BJ115">
        <v>1</v>
      </c>
      <c r="BK115">
        <v>32</v>
      </c>
      <c r="BL115" t="s">
        <v>15</v>
      </c>
      <c r="BM115">
        <v>1</v>
      </c>
      <c r="BN115">
        <v>2.95</v>
      </c>
      <c r="BO115">
        <v>2.95</v>
      </c>
    </row>
    <row r="116" spans="1:67">
      <c r="A116">
        <v>7</v>
      </c>
      <c r="B116" t="s">
        <v>257</v>
      </c>
      <c r="C116">
        <v>115</v>
      </c>
      <c r="D116">
        <v>1</v>
      </c>
      <c r="E116">
        <v>47</v>
      </c>
      <c r="F116" t="s">
        <v>15</v>
      </c>
      <c r="G116">
        <v>5.25</v>
      </c>
      <c r="H116">
        <v>6.54</v>
      </c>
      <c r="AH116" s="54">
        <f t="array" ref="AH116">MMULT(G102:H102-$AK$24:$AL$24,MMULT($AK$20:$AL$21,TRANSPOSE(G102:H102-$AK$24:$AL$24)))</f>
        <v>4.0748148230154211</v>
      </c>
      <c r="AI116" s="55">
        <f t="shared" si="7"/>
        <v>0.13036625919078201</v>
      </c>
      <c r="AJ116" s="62" t="str">
        <f t="shared" si="8"/>
        <v/>
      </c>
      <c r="BJ116">
        <v>1</v>
      </c>
      <c r="BK116">
        <v>47</v>
      </c>
      <c r="BL116" t="s">
        <v>15</v>
      </c>
      <c r="BM116">
        <v>1</v>
      </c>
      <c r="BN116">
        <v>6.54</v>
      </c>
      <c r="BO116">
        <v>6.54</v>
      </c>
    </row>
    <row r="117" spans="1:67">
      <c r="A117">
        <v>8</v>
      </c>
      <c r="B117" t="s">
        <v>258</v>
      </c>
      <c r="C117">
        <v>116</v>
      </c>
      <c r="D117">
        <v>1</v>
      </c>
      <c r="E117">
        <v>25</v>
      </c>
      <c r="F117" t="s">
        <v>15</v>
      </c>
      <c r="G117">
        <v>9.7100000000000009</v>
      </c>
      <c r="H117">
        <v>17.62</v>
      </c>
      <c r="AH117" s="54">
        <f t="array" ref="AH117">MMULT(G103:H103-$AK$24:$AL$24,MMULT($AK$20:$AL$21,TRANSPOSE(G103:H103-$AK$24:$AL$24)))</f>
        <v>1.937352087037536</v>
      </c>
      <c r="AI117" s="55">
        <f t="shared" si="7"/>
        <v>0.3795852599351851</v>
      </c>
      <c r="AJ117" s="62" t="str">
        <f t="shared" si="8"/>
        <v/>
      </c>
      <c r="BJ117">
        <v>1</v>
      </c>
      <c r="BK117">
        <v>25</v>
      </c>
      <c r="BL117" t="s">
        <v>15</v>
      </c>
      <c r="BM117">
        <v>1</v>
      </c>
      <c r="BN117">
        <v>17.62</v>
      </c>
      <c r="BO117">
        <v>17.62</v>
      </c>
    </row>
    <row r="118" spans="1:67">
      <c r="A118">
        <v>9</v>
      </c>
      <c r="B118" t="s">
        <v>259</v>
      </c>
      <c r="C118">
        <v>117</v>
      </c>
      <c r="D118">
        <v>2</v>
      </c>
      <c r="E118">
        <v>55</v>
      </c>
      <c r="F118" t="s">
        <v>15</v>
      </c>
      <c r="G118">
        <v>24.8</v>
      </c>
      <c r="H118">
        <v>16.920000000000002</v>
      </c>
      <c r="AH118" s="54">
        <f t="array" ref="AH118">MMULT(G104:H104-$AK$24:$AL$24,MMULT($AK$20:$AL$21,TRANSPOSE(G104:H104-$AK$24:$AL$24)))</f>
        <v>2.3001890076567304</v>
      </c>
      <c r="AI118" s="55">
        <f t="shared" si="7"/>
        <v>0.31660684740603851</v>
      </c>
      <c r="AJ118" s="62" t="str">
        <f t="shared" si="8"/>
        <v/>
      </c>
      <c r="BJ118">
        <v>2</v>
      </c>
      <c r="BK118">
        <v>55</v>
      </c>
      <c r="BL118" t="s">
        <v>15</v>
      </c>
      <c r="BM118">
        <v>2</v>
      </c>
      <c r="BN118">
        <v>16.920000000000002</v>
      </c>
      <c r="BO118">
        <v>16.920000000000002</v>
      </c>
    </row>
    <row r="119" spans="1:67">
      <c r="A119">
        <v>10</v>
      </c>
      <c r="B119" t="s">
        <v>260</v>
      </c>
      <c r="C119">
        <v>118</v>
      </c>
      <c r="D119">
        <v>1</v>
      </c>
      <c r="E119">
        <v>48</v>
      </c>
      <c r="F119" t="s">
        <v>15</v>
      </c>
      <c r="G119">
        <v>19.87</v>
      </c>
      <c r="H119">
        <v>15.04</v>
      </c>
      <c r="AH119" s="54">
        <f t="array" ref="AH119">MMULT(G105:H105-$AK$24:$AL$24,MMULT($AK$20:$AL$21,TRANSPOSE(G105:H105-$AK$24:$AL$24)))</f>
        <v>4.4886546583679333E-2</v>
      </c>
      <c r="AI119" s="55">
        <f t="shared" si="7"/>
        <v>0.97780670337561415</v>
      </c>
      <c r="AJ119" s="62" t="str">
        <f t="shared" si="8"/>
        <v/>
      </c>
      <c r="BJ119">
        <v>1</v>
      </c>
      <c r="BK119">
        <v>48</v>
      </c>
      <c r="BL119" t="s">
        <v>15</v>
      </c>
      <c r="BM119">
        <v>1</v>
      </c>
      <c r="BN119">
        <v>15.04</v>
      </c>
      <c r="BO119">
        <v>15.04</v>
      </c>
    </row>
    <row r="120" spans="1:67">
      <c r="A120">
        <v>11</v>
      </c>
      <c r="B120" t="s">
        <v>261</v>
      </c>
      <c r="C120">
        <v>119</v>
      </c>
      <c r="D120">
        <v>1</v>
      </c>
      <c r="E120">
        <v>42</v>
      </c>
      <c r="F120" t="s">
        <v>15</v>
      </c>
      <c r="G120">
        <v>18.86</v>
      </c>
      <c r="H120">
        <v>17.68</v>
      </c>
      <c r="AH120" s="54">
        <f t="array" ref="AH120">MMULT(G106:H106-$AK$24:$AL$24,MMULT($AK$20:$AL$21,TRANSPOSE(G106:H106-$AK$24:$AL$24)))</f>
        <v>1.0514009696362385</v>
      </c>
      <c r="AI120" s="55">
        <f t="shared" si="7"/>
        <v>0.59114113391300904</v>
      </c>
      <c r="AJ120" s="62" t="str">
        <f t="shared" si="8"/>
        <v/>
      </c>
      <c r="BJ120">
        <v>1</v>
      </c>
      <c r="BK120">
        <v>42</v>
      </c>
      <c r="BL120" t="s">
        <v>15</v>
      </c>
      <c r="BM120">
        <v>1</v>
      </c>
      <c r="BN120">
        <v>17.68</v>
      </c>
      <c r="BO120">
        <v>17.68</v>
      </c>
    </row>
    <row r="121" spans="1:67">
      <c r="A121">
        <v>12</v>
      </c>
      <c r="B121" t="s">
        <v>262</v>
      </c>
      <c r="C121">
        <v>120</v>
      </c>
      <c r="D121">
        <v>2</v>
      </c>
      <c r="E121">
        <v>62</v>
      </c>
      <c r="F121" t="s">
        <v>15</v>
      </c>
      <c r="G121">
        <v>23.98</v>
      </c>
      <c r="H121">
        <v>22.61</v>
      </c>
      <c r="AH121" s="54">
        <f t="array" ref="AH121">MMULT(G107:H107-$AK$24:$AL$24,MMULT($AK$20:$AL$21,TRANSPOSE(G107:H107-$AK$24:$AL$24)))</f>
        <v>0.37357754380762009</v>
      </c>
      <c r="AI121" s="55">
        <f t="shared" si="7"/>
        <v>0.82961895671181374</v>
      </c>
      <c r="AJ121" s="62" t="str">
        <f t="shared" si="8"/>
        <v/>
      </c>
      <c r="BJ121">
        <v>2</v>
      </c>
      <c r="BK121">
        <v>62</v>
      </c>
      <c r="BL121" t="s">
        <v>15</v>
      </c>
      <c r="BM121">
        <v>2</v>
      </c>
      <c r="BN121">
        <v>22.61</v>
      </c>
      <c r="BO121">
        <v>22.61</v>
      </c>
    </row>
    <row r="122" spans="1:67">
      <c r="A122">
        <v>13</v>
      </c>
      <c r="B122" t="s">
        <v>263</v>
      </c>
      <c r="C122">
        <v>121</v>
      </c>
      <c r="D122">
        <v>1</v>
      </c>
      <c r="E122">
        <v>21</v>
      </c>
      <c r="F122" t="s">
        <v>15</v>
      </c>
      <c r="G122">
        <v>24.65</v>
      </c>
      <c r="H122">
        <v>25.49</v>
      </c>
      <c r="AH122" s="54">
        <f t="array" ref="AH122">MMULT(G108:H108-$AK$24:$AL$24,MMULT($AK$20:$AL$21,TRANSPOSE(G108:H108-$AK$24:$AL$24)))</f>
        <v>3.1789528234692734</v>
      </c>
      <c r="AI122" s="55">
        <f t="shared" si="7"/>
        <v>0.20403241274896361</v>
      </c>
      <c r="AJ122" s="62" t="str">
        <f t="shared" si="8"/>
        <v/>
      </c>
      <c r="BJ122">
        <v>1</v>
      </c>
      <c r="BK122">
        <v>21</v>
      </c>
      <c r="BL122" t="s">
        <v>15</v>
      </c>
      <c r="BM122">
        <v>1</v>
      </c>
      <c r="BN122">
        <v>25.49</v>
      </c>
      <c r="BO122">
        <v>25.49</v>
      </c>
    </row>
    <row r="123" spans="1:67">
      <c r="A123">
        <v>14</v>
      </c>
      <c r="B123" t="s">
        <v>264</v>
      </c>
      <c r="C123">
        <v>122</v>
      </c>
      <c r="D123">
        <v>1</v>
      </c>
      <c r="E123">
        <v>29</v>
      </c>
      <c r="F123" t="s">
        <v>15</v>
      </c>
      <c r="G123">
        <v>18.95</v>
      </c>
      <c r="H123">
        <v>13.39</v>
      </c>
      <c r="AH123" s="54">
        <f t="array" ref="AH123">MMULT(G109:H109-$AK$24:$AL$24,MMULT($AK$20:$AL$21,TRANSPOSE(G109:H109-$AK$24:$AL$24)))</f>
        <v>4.1498944698160178</v>
      </c>
      <c r="AI123" s="55">
        <f t="shared" si="7"/>
        <v>0.12556305266443132</v>
      </c>
      <c r="AJ123" s="62" t="str">
        <f t="shared" si="8"/>
        <v/>
      </c>
      <c r="BJ123">
        <v>1</v>
      </c>
      <c r="BK123">
        <v>29</v>
      </c>
      <c r="BL123" t="s">
        <v>15</v>
      </c>
      <c r="BM123">
        <v>1</v>
      </c>
      <c r="BN123">
        <v>13.39</v>
      </c>
      <c r="BO123">
        <v>13.39</v>
      </c>
    </row>
    <row r="124" spans="1:67">
      <c r="A124">
        <v>15</v>
      </c>
      <c r="B124" t="s">
        <v>265</v>
      </c>
      <c r="C124">
        <v>123</v>
      </c>
      <c r="D124">
        <v>1</v>
      </c>
      <c r="E124">
        <v>63</v>
      </c>
      <c r="F124" t="s">
        <v>15</v>
      </c>
      <c r="G124">
        <v>27.18</v>
      </c>
      <c r="H124">
        <v>33.1</v>
      </c>
      <c r="AH124" s="54">
        <f t="array" ref="AH124">MMULT(G110:H110-$AK$24:$AL$24,MMULT($AK$20:$AL$21,TRANSPOSE(G110:H110-$AK$24:$AL$24)))</f>
        <v>0.41333977115291665</v>
      </c>
      <c r="AI124" s="55">
        <f t="shared" si="7"/>
        <v>0.81328808380515449</v>
      </c>
      <c r="AJ124" s="62" t="str">
        <f t="shared" si="8"/>
        <v/>
      </c>
      <c r="BJ124">
        <v>1</v>
      </c>
      <c r="BK124">
        <v>63</v>
      </c>
      <c r="BL124" t="s">
        <v>15</v>
      </c>
      <c r="BM124">
        <v>1</v>
      </c>
      <c r="BN124">
        <v>33.1</v>
      </c>
      <c r="BO124">
        <v>33.1</v>
      </c>
    </row>
    <row r="125" spans="1:67">
      <c r="A125">
        <v>16</v>
      </c>
      <c r="B125" t="s">
        <v>266</v>
      </c>
      <c r="C125">
        <v>124</v>
      </c>
      <c r="D125">
        <v>1</v>
      </c>
      <c r="E125">
        <v>57</v>
      </c>
      <c r="F125" t="s">
        <v>15</v>
      </c>
      <c r="G125">
        <v>29.21</v>
      </c>
      <c r="H125">
        <v>21.67</v>
      </c>
      <c r="AH125" s="54">
        <f t="array" ref="AH125">MMULT(G111:H111-$AK$24:$AL$24,MMULT($AK$20:$AL$21,TRANSPOSE(G111:H111-$AK$24:$AL$24)))</f>
        <v>4.7005574400028118</v>
      </c>
      <c r="AI125" s="55">
        <f t="shared" si="7"/>
        <v>9.5342584626547697E-2</v>
      </c>
      <c r="AJ125" s="62" t="str">
        <f t="shared" si="8"/>
        <v/>
      </c>
      <c r="BJ125">
        <v>1</v>
      </c>
      <c r="BK125">
        <v>57</v>
      </c>
      <c r="BL125" t="s">
        <v>15</v>
      </c>
      <c r="BM125">
        <v>1</v>
      </c>
      <c r="BN125">
        <v>21.67</v>
      </c>
      <c r="BO125">
        <v>21.67</v>
      </c>
    </row>
    <row r="126" spans="1:67">
      <c r="A126">
        <v>17</v>
      </c>
      <c r="B126" t="s">
        <v>267</v>
      </c>
      <c r="C126">
        <v>125</v>
      </c>
      <c r="D126">
        <v>2</v>
      </c>
      <c r="E126">
        <v>70</v>
      </c>
      <c r="F126" t="s">
        <v>15</v>
      </c>
      <c r="G126">
        <v>22.08</v>
      </c>
      <c r="H126">
        <v>29.94</v>
      </c>
      <c r="AH126" s="54">
        <f t="array" ref="AH126">MMULT(G112:H112-$AK$24:$AL$24,MMULT($AK$20:$AL$21,TRANSPOSE(G112:H112-$AK$24:$AL$24)))</f>
        <v>3.3011632739547938</v>
      </c>
      <c r="AI126" s="55">
        <f t="shared" si="7"/>
        <v>0.19193823777149041</v>
      </c>
      <c r="AJ126" s="62" t="str">
        <f t="shared" si="8"/>
        <v/>
      </c>
      <c r="BJ126">
        <v>2</v>
      </c>
      <c r="BK126">
        <v>70</v>
      </c>
      <c r="BL126" t="s">
        <v>15</v>
      </c>
      <c r="BM126">
        <v>2</v>
      </c>
      <c r="BN126">
        <v>29.94</v>
      </c>
      <c r="BO126">
        <v>29.94</v>
      </c>
    </row>
    <row r="127" spans="1:67">
      <c r="A127">
        <v>18</v>
      </c>
      <c r="B127" t="s">
        <v>268</v>
      </c>
      <c r="C127">
        <v>126</v>
      </c>
      <c r="D127">
        <v>2</v>
      </c>
      <c r="E127">
        <v>70</v>
      </c>
      <c r="F127" t="s">
        <v>15</v>
      </c>
      <c r="G127">
        <v>34.479999999999997</v>
      </c>
      <c r="H127">
        <v>27.89</v>
      </c>
      <c r="AH127" s="54">
        <f t="array" ref="AH127">MMULT(G113:H113-$AK$24:$AL$24,MMULT($AK$20:$AL$21,TRANSPOSE(G113:H113-$AK$24:$AL$24)))</f>
        <v>7.6802416868271897E-2</v>
      </c>
      <c r="AI127" s="55">
        <f t="shared" si="7"/>
        <v>0.96232676981238918</v>
      </c>
      <c r="AJ127" s="62" t="str">
        <f t="shared" si="8"/>
        <v/>
      </c>
      <c r="BJ127">
        <v>2</v>
      </c>
      <c r="BK127">
        <v>70</v>
      </c>
      <c r="BL127" t="s">
        <v>15</v>
      </c>
      <c r="BM127">
        <v>2</v>
      </c>
      <c r="BN127">
        <v>27.89</v>
      </c>
      <c r="BO127">
        <v>27.89</v>
      </c>
    </row>
    <row r="128" spans="1:67">
      <c r="A128">
        <v>19</v>
      </c>
      <c r="B128" t="s">
        <v>269</v>
      </c>
      <c r="C128">
        <v>127</v>
      </c>
      <c r="D128">
        <v>2</v>
      </c>
      <c r="E128">
        <v>41</v>
      </c>
      <c r="F128" t="s">
        <v>15</v>
      </c>
      <c r="G128">
        <v>32.549999999999997</v>
      </c>
      <c r="H128">
        <v>31.99</v>
      </c>
      <c r="AH128" s="54">
        <f t="array" ref="AH128">MMULT(G114:H114-$AK$24:$AL$24,MMULT($AK$20:$AL$21,TRANSPOSE(G114:H114-$AK$24:$AL$24)))</f>
        <v>0.21487410348826108</v>
      </c>
      <c r="AI128" s="55">
        <f t="shared" si="7"/>
        <v>0.89813305658087195</v>
      </c>
      <c r="AJ128" s="62" t="str">
        <f t="shared" si="8"/>
        <v/>
      </c>
      <c r="BJ128">
        <v>2</v>
      </c>
      <c r="BK128">
        <v>41</v>
      </c>
      <c r="BL128" t="s">
        <v>15</v>
      </c>
      <c r="BM128">
        <v>2</v>
      </c>
      <c r="BN128">
        <v>31.99</v>
      </c>
      <c r="BO128">
        <v>31.99</v>
      </c>
    </row>
    <row r="129" spans="1:67">
      <c r="A129">
        <v>20</v>
      </c>
      <c r="B129" t="s">
        <v>270</v>
      </c>
      <c r="C129">
        <v>128</v>
      </c>
      <c r="D129">
        <v>1</v>
      </c>
      <c r="E129">
        <v>65</v>
      </c>
      <c r="F129" t="s">
        <v>15</v>
      </c>
      <c r="G129">
        <v>31.86</v>
      </c>
      <c r="H129">
        <v>32.96</v>
      </c>
      <c r="AH129" s="54">
        <f t="array" ref="AH129">MMULT(G115:H115-$AK$24:$AL$24,MMULT($AK$20:$AL$21,TRANSPOSE(G115:H115-$AK$24:$AL$24)))</f>
        <v>4.7005574400028118</v>
      </c>
      <c r="AI129" s="55">
        <f t="shared" si="7"/>
        <v>9.5342584626547697E-2</v>
      </c>
      <c r="AJ129" s="62" t="str">
        <f t="shared" si="8"/>
        <v/>
      </c>
      <c r="BJ129">
        <v>1</v>
      </c>
      <c r="BK129">
        <v>65</v>
      </c>
      <c r="BL129" t="s">
        <v>15</v>
      </c>
      <c r="BM129">
        <v>1</v>
      </c>
      <c r="BN129">
        <v>32.96</v>
      </c>
      <c r="BO129">
        <v>32.96</v>
      </c>
    </row>
    <row r="130" spans="1:67">
      <c r="A130">
        <v>21</v>
      </c>
      <c r="B130" t="s">
        <v>271</v>
      </c>
      <c r="C130">
        <v>129</v>
      </c>
      <c r="D130">
        <v>2</v>
      </c>
      <c r="E130">
        <v>30</v>
      </c>
      <c r="F130" t="s">
        <v>15</v>
      </c>
      <c r="G130">
        <v>19.920000000000002</v>
      </c>
      <c r="H130">
        <v>8.9</v>
      </c>
      <c r="AH130" s="54">
        <f t="array" ref="AH130">MMULT(G116:H116-$AK$24:$AL$24,MMULT($AK$20:$AL$21,TRANSPOSE(G116:H116-$AK$24:$AL$24)))</f>
        <v>3.4330360160562403</v>
      </c>
      <c r="AI130" s="55">
        <f t="shared" si="7"/>
        <v>0.17969074158497322</v>
      </c>
      <c r="AJ130" s="62" t="str">
        <f t="shared" si="8"/>
        <v/>
      </c>
      <c r="BJ130">
        <v>2</v>
      </c>
      <c r="BK130">
        <v>30</v>
      </c>
      <c r="BL130" t="s">
        <v>15</v>
      </c>
      <c r="BM130">
        <v>2</v>
      </c>
      <c r="BN130">
        <v>8.9</v>
      </c>
      <c r="BO130">
        <v>8.9</v>
      </c>
    </row>
    <row r="131" spans="1:67">
      <c r="A131">
        <v>22</v>
      </c>
      <c r="B131" t="s">
        <v>272</v>
      </c>
      <c r="C131">
        <v>130</v>
      </c>
      <c r="D131">
        <v>1</v>
      </c>
      <c r="E131">
        <v>62</v>
      </c>
      <c r="F131" t="s">
        <v>15</v>
      </c>
      <c r="G131">
        <v>13.29</v>
      </c>
      <c r="H131">
        <v>12.52</v>
      </c>
      <c r="AH131" s="54">
        <f t="array" ref="AH131">MMULT(G117:H117-$AK$24:$AL$24,MMULT($AK$20:$AL$21,TRANSPOSE(G117:H117-$AK$24:$AL$24)))</f>
        <v>1.8695382327326568</v>
      </c>
      <c r="AI131" s="55">
        <f t="shared" si="7"/>
        <v>0.39267651764732264</v>
      </c>
      <c r="AJ131" s="62" t="str">
        <f t="shared" si="8"/>
        <v/>
      </c>
      <c r="BJ131">
        <v>1</v>
      </c>
      <c r="BK131">
        <v>62</v>
      </c>
      <c r="BL131" t="s">
        <v>15</v>
      </c>
      <c r="BM131">
        <v>1</v>
      </c>
      <c r="BN131">
        <v>12.52</v>
      </c>
      <c r="BO131">
        <v>12.52</v>
      </c>
    </row>
    <row r="132" spans="1:67">
      <c r="A132">
        <v>23</v>
      </c>
      <c r="B132" t="s">
        <v>273</v>
      </c>
      <c r="C132">
        <v>131</v>
      </c>
      <c r="D132">
        <v>2</v>
      </c>
      <c r="E132">
        <v>41</v>
      </c>
      <c r="F132" t="s">
        <v>15</v>
      </c>
      <c r="G132">
        <v>24.17</v>
      </c>
      <c r="H132">
        <v>32.85</v>
      </c>
      <c r="AH132" s="54">
        <f t="array" ref="AH132">MMULT(G118:H118-$AK$24:$AL$24,MMULT($AK$20:$AL$21,TRANSPOSE(G118:H118-$AK$24:$AL$24)))</f>
        <v>1.8056487624641768</v>
      </c>
      <c r="AI132" s="55">
        <f t="shared" si="7"/>
        <v>0.40542297212785028</v>
      </c>
      <c r="AJ132" s="62" t="str">
        <f t="shared" si="8"/>
        <v/>
      </c>
      <c r="BJ132">
        <v>2</v>
      </c>
      <c r="BK132">
        <v>41</v>
      </c>
      <c r="BL132" t="s">
        <v>15</v>
      </c>
      <c r="BM132">
        <v>2</v>
      </c>
      <c r="BN132">
        <v>32.85</v>
      </c>
      <c r="BO132">
        <v>32.85</v>
      </c>
    </row>
    <row r="133" spans="1:67">
      <c r="A133">
        <v>24</v>
      </c>
      <c r="B133" t="s">
        <v>274</v>
      </c>
      <c r="C133">
        <v>132</v>
      </c>
      <c r="D133">
        <v>2</v>
      </c>
      <c r="E133">
        <v>31</v>
      </c>
      <c r="F133" t="s">
        <v>15</v>
      </c>
      <c r="G133">
        <v>25.59</v>
      </c>
      <c r="H133">
        <v>28.43</v>
      </c>
      <c r="AH133" s="54">
        <f t="array" ref="AH133">MMULT(G119:H119-$AK$24:$AL$24,MMULT($AK$20:$AL$21,TRANSPOSE(G119:H119-$AK$24:$AL$24)))</f>
        <v>1.1031496218173442</v>
      </c>
      <c r="AI133" s="55">
        <f t="shared" si="7"/>
        <v>0.5760419385761828</v>
      </c>
      <c r="AJ133" s="62" t="str">
        <f t="shared" si="8"/>
        <v/>
      </c>
      <c r="BJ133">
        <v>2</v>
      </c>
      <c r="BK133">
        <v>31</v>
      </c>
      <c r="BL133" t="s">
        <v>15</v>
      </c>
      <c r="BM133">
        <v>2</v>
      </c>
      <c r="BN133">
        <v>28.43</v>
      </c>
      <c r="BO133">
        <v>28.43</v>
      </c>
    </row>
    <row r="134" spans="1:67">
      <c r="A134">
        <v>25</v>
      </c>
      <c r="B134" t="s">
        <v>275</v>
      </c>
      <c r="C134">
        <v>133</v>
      </c>
      <c r="D134">
        <v>2</v>
      </c>
      <c r="E134">
        <v>49</v>
      </c>
      <c r="F134" t="s">
        <v>15</v>
      </c>
      <c r="G134">
        <v>23.83</v>
      </c>
      <c r="H134">
        <v>30.12</v>
      </c>
      <c r="AH134" s="54">
        <f t="array" ref="AH134">MMULT(G120:H120-$AK$24:$AL$24,MMULT($AK$20:$AL$21,TRANSPOSE(G120:H120-$AK$24:$AL$24)))</f>
        <v>0.29886014347148715</v>
      </c>
      <c r="AI134" s="55">
        <f t="shared" si="7"/>
        <v>0.86119865804147255</v>
      </c>
      <c r="AJ134" s="62" t="str">
        <f t="shared" si="8"/>
        <v/>
      </c>
      <c r="BJ134">
        <v>2</v>
      </c>
      <c r="BK134">
        <v>49</v>
      </c>
      <c r="BL134" t="s">
        <v>15</v>
      </c>
      <c r="BM134">
        <v>2</v>
      </c>
      <c r="BN134">
        <v>30.12</v>
      </c>
      <c r="BO134">
        <v>30.12</v>
      </c>
    </row>
    <row r="135" spans="1:67">
      <c r="A135">
        <v>26</v>
      </c>
      <c r="B135" t="s">
        <v>276</v>
      </c>
      <c r="C135">
        <v>134</v>
      </c>
      <c r="D135">
        <v>1</v>
      </c>
      <c r="E135">
        <v>58</v>
      </c>
      <c r="F135" t="s">
        <v>15</v>
      </c>
      <c r="G135">
        <v>34.58</v>
      </c>
      <c r="H135">
        <v>26.43</v>
      </c>
      <c r="AH135" s="54">
        <f t="array" ref="AH135">MMULT(G121:H121-$AK$24:$AL$24,MMULT($AK$20:$AL$21,TRANSPOSE(G121:H121-$AK$24:$AL$24)))</f>
        <v>0.12420965713482492</v>
      </c>
      <c r="AI135" s="55">
        <f t="shared" si="7"/>
        <v>0.93978436537855059</v>
      </c>
      <c r="AJ135" s="62" t="str">
        <f t="shared" si="8"/>
        <v/>
      </c>
      <c r="BJ135">
        <v>1</v>
      </c>
      <c r="BK135">
        <v>58</v>
      </c>
      <c r="BL135" t="s">
        <v>15</v>
      </c>
      <c r="BM135">
        <v>1</v>
      </c>
      <c r="BN135">
        <v>26.43</v>
      </c>
      <c r="BO135">
        <v>26.43</v>
      </c>
    </row>
    <row r="136" spans="1:67">
      <c r="A136">
        <v>27</v>
      </c>
      <c r="B136" t="s">
        <v>277</v>
      </c>
      <c r="C136">
        <v>135</v>
      </c>
      <c r="D136">
        <v>1</v>
      </c>
      <c r="E136">
        <v>37</v>
      </c>
      <c r="F136" t="s">
        <v>15</v>
      </c>
      <c r="G136">
        <v>17.920000000000002</v>
      </c>
      <c r="H136">
        <v>26.48</v>
      </c>
      <c r="AH136" s="54">
        <f t="array" ref="AH136">MMULT(G122:H122-$AK$24:$AL$24,MMULT($AK$20:$AL$21,TRANSPOSE(G122:H122-$AK$24:$AL$24)))</f>
        <v>0.13368213441574858</v>
      </c>
      <c r="AI136" s="55">
        <f t="shared" si="7"/>
        <v>0.93534384633327683</v>
      </c>
      <c r="AJ136" s="62" t="str">
        <f t="shared" si="8"/>
        <v/>
      </c>
      <c r="BJ136">
        <v>1</v>
      </c>
      <c r="BK136">
        <v>37</v>
      </c>
      <c r="BL136" t="s">
        <v>15</v>
      </c>
      <c r="BM136">
        <v>1</v>
      </c>
      <c r="BN136">
        <v>26.48</v>
      </c>
      <c r="BO136">
        <v>26.48</v>
      </c>
    </row>
    <row r="137" spans="1:67">
      <c r="AH137" s="54">
        <f t="array" ref="AH137">MMULT(G123:H123-$AK$24:$AL$24,MMULT($AK$20:$AL$21,TRANSPOSE(G123:H123-$AK$24:$AL$24)))</f>
        <v>1.5270865229506023</v>
      </c>
      <c r="AI137" s="55">
        <f t="shared" si="7"/>
        <v>0.46601229481782325</v>
      </c>
      <c r="AJ137" s="62" t="str">
        <f t="shared" si="8"/>
        <v/>
      </c>
    </row>
    <row r="138" spans="1:67">
      <c r="AH138" s="54">
        <f t="array" ref="AH138">MMULT(G124:H124-$AK$24:$AL$24,MMULT($AK$20:$AL$21,TRANSPOSE(G124:H124-$AK$24:$AL$24)))</f>
        <v>1.6760924467741773</v>
      </c>
      <c r="AI138" s="55">
        <f t="shared" si="7"/>
        <v>0.4325548138621827</v>
      </c>
      <c r="AJ138" s="62" t="str">
        <f t="shared" si="8"/>
        <v/>
      </c>
    </row>
    <row r="139" spans="1:67">
      <c r="A139" t="s">
        <v>51</v>
      </c>
      <c r="B139" t="s">
        <v>52</v>
      </c>
      <c r="C139" t="s">
        <v>53</v>
      </c>
      <c r="D139" t="s">
        <v>54</v>
      </c>
      <c r="E139" t="s">
        <v>55</v>
      </c>
      <c r="F139" t="s">
        <v>56</v>
      </c>
      <c r="G139" t="s">
        <v>22</v>
      </c>
      <c r="H139" t="s">
        <v>37</v>
      </c>
      <c r="AH139" s="54">
        <f t="array" ref="AH139">MMULT(G125:H125-$AK$24:$AL$24,MMULT($AK$20:$AL$21,TRANSPOSE(G125:H125-$AK$24:$AL$24)))</f>
        <v>1.6759724172261288</v>
      </c>
      <c r="AI139" s="55">
        <f t="shared" si="7"/>
        <v>0.4325807743205875</v>
      </c>
      <c r="AJ139" s="62" t="str">
        <f t="shared" si="8"/>
        <v/>
      </c>
      <c r="BJ139" t="s">
        <v>54</v>
      </c>
      <c r="BK139" t="s">
        <v>55</v>
      </c>
      <c r="BL139" t="s">
        <v>56</v>
      </c>
      <c r="BM139" t="s">
        <v>54</v>
      </c>
      <c r="BN139" t="s">
        <v>37</v>
      </c>
      <c r="BO139" t="s">
        <v>37</v>
      </c>
    </row>
    <row r="140" spans="1:67">
      <c r="A140">
        <v>1</v>
      </c>
      <c r="B140" t="s">
        <v>60</v>
      </c>
      <c r="C140">
        <v>1</v>
      </c>
      <c r="D140">
        <v>1</v>
      </c>
      <c r="E140">
        <v>50</v>
      </c>
      <c r="F140" t="s">
        <v>11</v>
      </c>
      <c r="G140">
        <v>17.600000000000001</v>
      </c>
      <c r="H140">
        <v>17.8</v>
      </c>
      <c r="J140" t="s">
        <v>63</v>
      </c>
      <c r="AH140" s="54">
        <f t="array" ref="AH140">MMULT(G126:H126-$AK$24:$AL$24,MMULT($AK$20:$AL$21,TRANSPOSE(G126:H126-$AK$24:$AL$24)))</f>
        <v>1.4915395911526106</v>
      </c>
      <c r="AI140" s="55">
        <f t="shared" si="7"/>
        <v>0.474368992200079</v>
      </c>
      <c r="AJ140" s="62" t="str">
        <f t="shared" si="8"/>
        <v/>
      </c>
      <c r="BJ140">
        <v>1</v>
      </c>
      <c r="BK140">
        <v>50</v>
      </c>
      <c r="BL140" t="s">
        <v>11</v>
      </c>
      <c r="BM140">
        <v>1</v>
      </c>
      <c r="BN140">
        <v>17.8</v>
      </c>
      <c r="BO140">
        <v>17.8</v>
      </c>
    </row>
    <row r="141" spans="1:67">
      <c r="A141">
        <v>2</v>
      </c>
      <c r="B141" t="s">
        <v>64</v>
      </c>
      <c r="C141">
        <v>2</v>
      </c>
      <c r="D141">
        <v>2</v>
      </c>
      <c r="E141">
        <v>69</v>
      </c>
      <c r="F141" t="s">
        <v>11</v>
      </c>
      <c r="G141">
        <v>19</v>
      </c>
      <c r="H141">
        <v>18</v>
      </c>
      <c r="AH141" s="54">
        <f t="array" ref="AH141">MMULT(G127:H127-$AK$24:$AL$24,MMULT($AK$20:$AL$21,TRANSPOSE(G127:H127-$AK$24:$AL$24)))</f>
        <v>2.1676027310770372</v>
      </c>
      <c r="AI141" s="55">
        <f t="shared" si="7"/>
        <v>0.33830704945279488</v>
      </c>
      <c r="AJ141" s="62" t="str">
        <f t="shared" si="8"/>
        <v/>
      </c>
      <c r="BJ141">
        <v>2</v>
      </c>
      <c r="BK141">
        <v>69</v>
      </c>
      <c r="BL141" t="s">
        <v>11</v>
      </c>
      <c r="BM141">
        <v>2</v>
      </c>
      <c r="BN141">
        <v>18</v>
      </c>
      <c r="BO141">
        <v>18</v>
      </c>
    </row>
    <row r="142" spans="1:67">
      <c r="A142">
        <v>3</v>
      </c>
      <c r="B142" t="s">
        <v>68</v>
      </c>
      <c r="C142">
        <v>3</v>
      </c>
      <c r="D142">
        <v>2</v>
      </c>
      <c r="E142">
        <v>53</v>
      </c>
      <c r="F142" t="s">
        <v>11</v>
      </c>
      <c r="G142">
        <v>19.3</v>
      </c>
      <c r="H142">
        <v>19</v>
      </c>
      <c r="J142" t="s">
        <v>11</v>
      </c>
      <c r="K142" t="s">
        <v>12</v>
      </c>
      <c r="L142" t="s">
        <v>13</v>
      </c>
      <c r="M142" t="s">
        <v>14</v>
      </c>
      <c r="N142" t="s">
        <v>15</v>
      </c>
      <c r="P142" t="s">
        <v>278</v>
      </c>
      <c r="S142" t="s">
        <v>279</v>
      </c>
      <c r="Z142" t="s">
        <v>280</v>
      </c>
      <c r="AH142" s="54">
        <f t="array" ref="AH142">MMULT(G128:H128-$AK$24:$AL$24,MMULT($AK$20:$AL$21,TRANSPOSE(G128:H128-$AK$24:$AL$24)))</f>
        <v>1.4304859899464453</v>
      </c>
      <c r="AI142" s="55">
        <f t="shared" si="7"/>
        <v>0.48907325501361004</v>
      </c>
      <c r="AJ142" s="62" t="str">
        <f t="shared" si="8"/>
        <v/>
      </c>
      <c r="BJ142">
        <v>2</v>
      </c>
      <c r="BK142">
        <v>53</v>
      </c>
      <c r="BL142" t="s">
        <v>11</v>
      </c>
      <c r="BM142">
        <v>2</v>
      </c>
      <c r="BN142">
        <v>19</v>
      </c>
      <c r="BO142">
        <v>19</v>
      </c>
    </row>
    <row r="143" spans="1:67">
      <c r="A143">
        <v>4</v>
      </c>
      <c r="B143" t="s">
        <v>73</v>
      </c>
      <c r="C143">
        <v>4</v>
      </c>
      <c r="D143">
        <v>2</v>
      </c>
      <c r="E143">
        <v>52</v>
      </c>
      <c r="F143" t="s">
        <v>11</v>
      </c>
      <c r="G143">
        <v>13.9</v>
      </c>
      <c r="H143">
        <v>14</v>
      </c>
      <c r="J143">
        <v>17.600000000000001</v>
      </c>
      <c r="K143">
        <v>24.3</v>
      </c>
      <c r="L143">
        <v>27.17</v>
      </c>
      <c r="M143">
        <v>16.07</v>
      </c>
      <c r="N143">
        <v>16.559999999999999</v>
      </c>
      <c r="AH143" s="54">
        <f t="array" ref="AH143">MMULT(G129:H129-$AK$24:$AL$24,MMULT($AK$20:$AL$21,TRANSPOSE(G129:H129-$AK$24:$AL$24)))</f>
        <v>1.4935240021159917</v>
      </c>
      <c r="AI143" s="55">
        <f t="shared" si="7"/>
        <v>0.4738985541098944</v>
      </c>
      <c r="AJ143" s="62" t="str">
        <f t="shared" si="8"/>
        <v/>
      </c>
      <c r="BJ143">
        <v>2</v>
      </c>
      <c r="BK143">
        <v>52</v>
      </c>
      <c r="BL143" t="s">
        <v>11</v>
      </c>
      <c r="BM143">
        <v>2</v>
      </c>
      <c r="BN143">
        <v>14</v>
      </c>
      <c r="BO143">
        <v>14</v>
      </c>
    </row>
    <row r="144" spans="1:67">
      <c r="A144">
        <v>5</v>
      </c>
      <c r="B144" t="s">
        <v>81</v>
      </c>
      <c r="C144">
        <v>5</v>
      </c>
      <c r="D144">
        <v>2</v>
      </c>
      <c r="E144">
        <v>23</v>
      </c>
      <c r="F144" t="s">
        <v>11</v>
      </c>
      <c r="G144">
        <v>21.5</v>
      </c>
      <c r="H144">
        <v>20.9</v>
      </c>
      <c r="J144">
        <v>19</v>
      </c>
      <c r="K144">
        <v>39.03</v>
      </c>
      <c r="L144">
        <v>27.29</v>
      </c>
      <c r="M144">
        <v>39.340000000000003</v>
      </c>
      <c r="N144">
        <v>6.29</v>
      </c>
      <c r="P144" t="s">
        <v>281</v>
      </c>
      <c r="Q144" t="s">
        <v>23</v>
      </c>
      <c r="S144" s="42"/>
      <c r="T144" s="42" t="str">
        <f>J142</f>
        <v>I</v>
      </c>
      <c r="U144" s="42" t="str">
        <f>K142</f>
        <v>II ALTO</v>
      </c>
      <c r="V144" s="42" t="str">
        <f>L142</f>
        <v>II BAJO</v>
      </c>
      <c r="W144" s="42" t="str">
        <f>M142</f>
        <v>III ALTO</v>
      </c>
      <c r="X144" s="42" t="str">
        <f>N142</f>
        <v>III BAJO</v>
      </c>
      <c r="Z144" s="42"/>
      <c r="AA144" s="42" t="str">
        <f>J142</f>
        <v>I</v>
      </c>
      <c r="AB144" s="42" t="str">
        <f>K142</f>
        <v>II ALTO</v>
      </c>
      <c r="AC144" s="42" t="str">
        <f>L142</f>
        <v>II BAJO</v>
      </c>
      <c r="AD144" s="42" t="str">
        <f>M142</f>
        <v>III ALTO</v>
      </c>
      <c r="AE144" s="42" t="str">
        <f>N142</f>
        <v>III BAJO</v>
      </c>
      <c r="AH144" s="54">
        <f t="array" ref="AH144">MMULT(G130:H130-$AK$24:$AL$24,MMULT($AK$20:$AL$21,TRANSPOSE(G130:H130-$AK$24:$AL$24)))</f>
        <v>4.3501467550095594</v>
      </c>
      <c r="AI144" s="55">
        <f t="shared" ref="AI144:AI150" si="9">_xlfn.CHISQ.DIST.RT(AH144,COUNT($G$2:$H$2))</f>
        <v>0.11359981769376509</v>
      </c>
      <c r="AJ144" s="62" t="str">
        <f t="shared" ref="AJ144:AJ150" si="10">IF(AI144&lt;0.001,"*","")</f>
        <v/>
      </c>
      <c r="BJ144">
        <v>2</v>
      </c>
      <c r="BK144">
        <v>23</v>
      </c>
      <c r="BL144" t="s">
        <v>11</v>
      </c>
      <c r="BM144">
        <v>2</v>
      </c>
      <c r="BN144">
        <v>20.9</v>
      </c>
      <c r="BO144">
        <v>20.9</v>
      </c>
    </row>
    <row r="145" spans="1:67">
      <c r="A145">
        <v>6</v>
      </c>
      <c r="B145" t="s">
        <v>84</v>
      </c>
      <c r="C145">
        <v>6</v>
      </c>
      <c r="D145">
        <v>1</v>
      </c>
      <c r="E145">
        <v>51</v>
      </c>
      <c r="F145" t="s">
        <v>11</v>
      </c>
      <c r="G145">
        <v>14.5</v>
      </c>
      <c r="H145">
        <v>14.1</v>
      </c>
      <c r="J145">
        <v>19.3</v>
      </c>
      <c r="K145">
        <v>33.4</v>
      </c>
      <c r="L145">
        <v>22.16</v>
      </c>
      <c r="M145">
        <v>16.600000000000001</v>
      </c>
      <c r="N145">
        <v>4.88</v>
      </c>
      <c r="P145" t="s">
        <v>282</v>
      </c>
      <c r="Q145">
        <v>6.535230753315413E-3</v>
      </c>
      <c r="S145" t="s">
        <v>4</v>
      </c>
      <c r="T145">
        <f>AVERAGE(J143:J169)</f>
        <v>17.477777777777778</v>
      </c>
      <c r="U145">
        <f>AVERAGE(K143:K169)</f>
        <v>30.349259259259252</v>
      </c>
      <c r="V145">
        <f>AVERAGE(L143:L169)</f>
        <v>21.675925925925931</v>
      </c>
      <c r="W145">
        <f>AVERAGE(M143:M169)</f>
        <v>17.341111111111111</v>
      </c>
      <c r="X145">
        <f>AVERAGE(N143:N169)</f>
        <v>20.755925925925926</v>
      </c>
      <c r="Z145" t="s">
        <v>283</v>
      </c>
      <c r="AA145">
        <f>[1]!SHAPIRO(J143:J169)</f>
        <v>0.96507937619738027</v>
      </c>
      <c r="AB145">
        <f>[1]!SHAPIRO(K143:K169)</f>
        <v>0.97676392211930763</v>
      </c>
      <c r="AC145">
        <f>[1]!SHAPIRO(L143:L169)</f>
        <v>0.87246143762344741</v>
      </c>
      <c r="AD145">
        <f>[1]!SHAPIRO(M143:M169)</f>
        <v>0.96639833487278992</v>
      </c>
      <c r="AE145">
        <f>[1]!SHAPIRO(N143:N169)</f>
        <v>0.94178070879985343</v>
      </c>
      <c r="AH145" s="54">
        <f t="array" ref="AH145">MMULT(G131:H131-$AK$24:$AL$24,MMULT($AK$20:$AL$21,TRANSPOSE(G131:H131-$AK$24:$AL$24)))</f>
        <v>1.2060195750317424</v>
      </c>
      <c r="AI145" s="55">
        <f t="shared" si="9"/>
        <v>0.5471623129842752</v>
      </c>
      <c r="AJ145" s="62" t="str">
        <f t="shared" si="10"/>
        <v/>
      </c>
      <c r="BJ145">
        <v>1</v>
      </c>
      <c r="BK145">
        <v>51</v>
      </c>
      <c r="BL145" t="s">
        <v>11</v>
      </c>
      <c r="BM145">
        <v>1</v>
      </c>
      <c r="BN145">
        <v>14.1</v>
      </c>
      <c r="BO145">
        <v>14.1</v>
      </c>
    </row>
    <row r="146" spans="1:67">
      <c r="A146">
        <v>7</v>
      </c>
      <c r="B146" t="s">
        <v>87</v>
      </c>
      <c r="C146">
        <v>7</v>
      </c>
      <c r="D146">
        <v>2</v>
      </c>
      <c r="E146">
        <v>50</v>
      </c>
      <c r="F146" t="s">
        <v>11</v>
      </c>
      <c r="G146">
        <v>15.4</v>
      </c>
      <c r="H146">
        <v>14.6</v>
      </c>
      <c r="J146">
        <v>13.9</v>
      </c>
      <c r="K146">
        <v>38.19</v>
      </c>
      <c r="L146">
        <v>19.149999999999999</v>
      </c>
      <c r="M146">
        <v>16.04</v>
      </c>
      <c r="N146">
        <v>20.2</v>
      </c>
      <c r="P146" t="s">
        <v>284</v>
      </c>
      <c r="Q146">
        <v>1.0454984112673538E-2</v>
      </c>
      <c r="S146" t="s">
        <v>5</v>
      </c>
      <c r="T146">
        <f>_xlfn.STDEV.S(J143:J169)/SQRT(COUNT(J143:J169))</f>
        <v>0.70669031836998952</v>
      </c>
      <c r="U146">
        <f>_xlfn.STDEV.S(K143:K169)/SQRT(COUNT(K143:K169))</f>
        <v>1.8422658015985638</v>
      </c>
      <c r="V146">
        <f>_xlfn.STDEV.S(L143:L169)/SQRT(COUNT(L143:L169))</f>
        <v>1.6874007101112978</v>
      </c>
      <c r="W146">
        <f>_xlfn.STDEV.S(M143:M169)/SQRT(COUNT(M143:M169))</f>
        <v>1.9286222687842536</v>
      </c>
      <c r="X146">
        <f>_xlfn.STDEV.S(N143:N169)/SQRT(COUNT(N143:N169))</f>
        <v>1.6765104393800285</v>
      </c>
      <c r="Z146" t="s">
        <v>23</v>
      </c>
      <c r="AA146">
        <f>[1]!SWTEST(J143:J169)</f>
        <v>0.47848825567424635</v>
      </c>
      <c r="AB146">
        <f>[1]!SWTEST(K143:K169)</f>
        <v>0.78314572025453821</v>
      </c>
      <c r="AC146">
        <f>[1]!SWTEST(L143:L169)</f>
        <v>3.315824397439382E-3</v>
      </c>
      <c r="AD146">
        <f>[1]!SWTEST(M143:M169)</f>
        <v>0.51002891777606818</v>
      </c>
      <c r="AE146">
        <f>[1]!SWTEST(N143:N169)</f>
        <v>0.13481525112206871</v>
      </c>
      <c r="AH146" s="54">
        <f t="array" ref="AH146">MMULT(G132:H132-$AK$24:$AL$24,MMULT($AK$20:$AL$21,TRANSPOSE(G132:H132-$AK$24:$AL$24)))</f>
        <v>2.2226538856650748</v>
      </c>
      <c r="AI146" s="55">
        <f t="shared" si="9"/>
        <v>0.32912194518556703</v>
      </c>
      <c r="AJ146" s="62" t="str">
        <f t="shared" si="10"/>
        <v/>
      </c>
      <c r="BJ146">
        <v>2</v>
      </c>
      <c r="BK146">
        <v>50</v>
      </c>
      <c r="BL146" t="s">
        <v>11</v>
      </c>
      <c r="BM146">
        <v>2</v>
      </c>
      <c r="BN146">
        <v>14.6</v>
      </c>
      <c r="BO146">
        <v>14.6</v>
      </c>
    </row>
    <row r="147" spans="1:67">
      <c r="A147">
        <v>8</v>
      </c>
      <c r="B147" t="s">
        <v>90</v>
      </c>
      <c r="C147">
        <v>8</v>
      </c>
      <c r="D147">
        <v>1</v>
      </c>
      <c r="E147">
        <v>29</v>
      </c>
      <c r="F147" t="s">
        <v>11</v>
      </c>
      <c r="G147">
        <v>17.8</v>
      </c>
      <c r="H147">
        <v>17.600000000000001</v>
      </c>
      <c r="J147">
        <v>21.5</v>
      </c>
      <c r="K147">
        <v>27.5</v>
      </c>
      <c r="L147">
        <v>27.94</v>
      </c>
      <c r="M147">
        <v>26.16</v>
      </c>
      <c r="N147">
        <v>23.46</v>
      </c>
      <c r="P147" t="s">
        <v>285</v>
      </c>
      <c r="Q147">
        <v>6.8377239586636662E-3</v>
      </c>
      <c r="S147" t="s">
        <v>6</v>
      </c>
      <c r="T147">
        <f>MEDIAN(J143:J169)</f>
        <v>17.600000000000001</v>
      </c>
      <c r="U147">
        <f>MEDIAN(K143:K169)</f>
        <v>30.78</v>
      </c>
      <c r="V147">
        <f>MEDIAN(L143:L169)</f>
        <v>23.57</v>
      </c>
      <c r="W147">
        <f>MEDIAN(M143:M169)</f>
        <v>16.600000000000001</v>
      </c>
      <c r="X147">
        <f>MEDIAN(N143:N169)</f>
        <v>22.08</v>
      </c>
      <c r="Z147" t="s">
        <v>286</v>
      </c>
      <c r="AA147">
        <v>0.05</v>
      </c>
      <c r="AB147">
        <v>0.05</v>
      </c>
      <c r="AC147">
        <v>0.05</v>
      </c>
      <c r="AD147">
        <v>0.05</v>
      </c>
      <c r="AE147">
        <v>0.05</v>
      </c>
      <c r="AH147" s="54">
        <f t="array" ref="AH147">MMULT(G133:H133-$AK$24:$AL$24,MMULT($AK$20:$AL$21,TRANSPOSE(G133:H133-$AK$24:$AL$24)))</f>
        <v>0.48361027489805969</v>
      </c>
      <c r="AI147" s="55">
        <f t="shared" si="9"/>
        <v>0.78520917050705674</v>
      </c>
      <c r="AJ147" s="62" t="str">
        <f t="shared" si="10"/>
        <v/>
      </c>
      <c r="BJ147">
        <v>1</v>
      </c>
      <c r="BK147">
        <v>29</v>
      </c>
      <c r="BL147" t="s">
        <v>11</v>
      </c>
      <c r="BM147">
        <v>1</v>
      </c>
      <c r="BN147">
        <v>17.600000000000001</v>
      </c>
      <c r="BO147">
        <v>17.600000000000001</v>
      </c>
    </row>
    <row r="148" spans="1:67">
      <c r="A148">
        <v>9</v>
      </c>
      <c r="B148" t="s">
        <v>93</v>
      </c>
      <c r="C148">
        <v>9</v>
      </c>
      <c r="D148">
        <v>1</v>
      </c>
      <c r="E148">
        <v>56</v>
      </c>
      <c r="F148" t="s">
        <v>11</v>
      </c>
      <c r="G148">
        <v>22</v>
      </c>
      <c r="H148">
        <v>22.3</v>
      </c>
      <c r="J148">
        <v>14.5</v>
      </c>
      <c r="K148">
        <v>24.88</v>
      </c>
      <c r="L148">
        <v>26.18</v>
      </c>
      <c r="M148">
        <v>7.9</v>
      </c>
      <c r="N148">
        <v>6.29</v>
      </c>
      <c r="S148" t="s">
        <v>287</v>
      </c>
      <c r="T148">
        <f>MODE(J143:J169)</f>
        <v>19</v>
      </c>
      <c r="U148" t="e">
        <f>MODE(K143:K169)</f>
        <v>#N/A</v>
      </c>
      <c r="V148" t="e">
        <f>MODE(L143:L169)</f>
        <v>#N/A</v>
      </c>
      <c r="W148" t="e">
        <f>MODE(M143:M169)</f>
        <v>#N/A</v>
      </c>
      <c r="X148">
        <f>MODE(N143:N169)</f>
        <v>6.29</v>
      </c>
      <c r="Z148" s="41" t="s">
        <v>288</v>
      </c>
      <c r="AA148" s="44" t="str">
        <f>IF(AA146&lt;AA147,"no","yes")</f>
        <v>yes</v>
      </c>
      <c r="AB148" s="44" t="str">
        <f>IF(AB146&lt;AB147,"no","yes")</f>
        <v>yes</v>
      </c>
      <c r="AC148" s="44" t="str">
        <f>IF(AC146&lt;AC147,"no","yes")</f>
        <v>no</v>
      </c>
      <c r="AD148" s="44" t="str">
        <f>IF(AD146&lt;AD147,"no","yes")</f>
        <v>yes</v>
      </c>
      <c r="AE148" s="44" t="str">
        <f>IF(AE146&lt;AE147,"no","yes")</f>
        <v>yes</v>
      </c>
      <c r="AH148" s="54">
        <f t="array" ref="AH148">MMULT(G134:H134-$AK$24:$AL$24,MMULT($AK$20:$AL$21,TRANSPOSE(G134:H134-$AK$24:$AL$24)))</f>
        <v>1.1479880531335775</v>
      </c>
      <c r="AI148" s="55">
        <f t="shared" si="9"/>
        <v>0.56327121977496653</v>
      </c>
      <c r="AJ148" s="62" t="str">
        <f t="shared" si="10"/>
        <v/>
      </c>
      <c r="BJ148">
        <v>1</v>
      </c>
      <c r="BK148">
        <v>56</v>
      </c>
      <c r="BL148" t="s">
        <v>11</v>
      </c>
      <c r="BM148">
        <v>1</v>
      </c>
      <c r="BN148">
        <v>22.3</v>
      </c>
      <c r="BO148">
        <v>22.3</v>
      </c>
    </row>
    <row r="149" spans="1:67">
      <c r="A149">
        <v>10</v>
      </c>
      <c r="B149" t="s">
        <v>94</v>
      </c>
      <c r="C149">
        <v>10</v>
      </c>
      <c r="D149">
        <v>2</v>
      </c>
      <c r="E149">
        <v>61</v>
      </c>
      <c r="F149" t="s">
        <v>11</v>
      </c>
      <c r="G149">
        <v>16.100000000000001</v>
      </c>
      <c r="H149">
        <v>15.4</v>
      </c>
      <c r="J149">
        <v>15.4</v>
      </c>
      <c r="K149">
        <v>32.909999999999997</v>
      </c>
      <c r="L149">
        <v>6.01</v>
      </c>
      <c r="M149">
        <v>22.37</v>
      </c>
      <c r="N149">
        <v>5.25</v>
      </c>
      <c r="S149" t="s">
        <v>289</v>
      </c>
      <c r="T149">
        <f>_xlfn.STDEV.S(J143:J169)</f>
        <v>3.6720706099015419</v>
      </c>
      <c r="U149">
        <f>_xlfn.STDEV.S(K143:K169)</f>
        <v>9.5726939082459523</v>
      </c>
      <c r="V149">
        <f>_xlfn.STDEV.S(L143:L169)</f>
        <v>8.7679912879217117</v>
      </c>
      <c r="W149">
        <f>_xlfn.STDEV.S(M143:M169)</f>
        <v>10.021415274429261</v>
      </c>
      <c r="X149">
        <f>_xlfn.STDEV.S(N143:N169)</f>
        <v>8.7114037812774949</v>
      </c>
      <c r="AH149" s="54">
        <f t="array" ref="AH149">MMULT(G135:H135-$AK$24:$AL$24,MMULT($AK$20:$AL$21,TRANSPOSE(G135:H135-$AK$24:$AL$24)))</f>
        <v>2.5661838983589145</v>
      </c>
      <c r="AI149" s="55">
        <f t="shared" si="9"/>
        <v>0.27717895092059491</v>
      </c>
      <c r="AJ149" s="62" t="str">
        <f t="shared" si="10"/>
        <v/>
      </c>
      <c r="BJ149">
        <v>2</v>
      </c>
      <c r="BK149">
        <v>61</v>
      </c>
      <c r="BL149" t="s">
        <v>11</v>
      </c>
      <c r="BM149">
        <v>2</v>
      </c>
      <c r="BN149">
        <v>15.4</v>
      </c>
      <c r="BO149">
        <v>15.4</v>
      </c>
    </row>
    <row r="150" spans="1:67">
      <c r="A150">
        <v>11</v>
      </c>
      <c r="B150" t="s">
        <v>95</v>
      </c>
      <c r="C150">
        <v>11</v>
      </c>
      <c r="D150">
        <v>2</v>
      </c>
      <c r="E150">
        <v>22</v>
      </c>
      <c r="F150" t="s">
        <v>11</v>
      </c>
      <c r="G150">
        <v>18.5</v>
      </c>
      <c r="H150">
        <v>18.2</v>
      </c>
      <c r="J150">
        <v>17.8</v>
      </c>
      <c r="K150">
        <v>16.96</v>
      </c>
      <c r="L150">
        <v>23.57</v>
      </c>
      <c r="M150">
        <v>34.28</v>
      </c>
      <c r="N150">
        <v>9.7100000000000009</v>
      </c>
      <c r="S150" t="s">
        <v>290</v>
      </c>
      <c r="T150">
        <f>_xlfn.VAR.S(J143:J169)</f>
        <v>13.484102564102683</v>
      </c>
      <c r="U150">
        <f>_xlfn.VAR.S(K143:K169)</f>
        <v>91.636468660969157</v>
      </c>
      <c r="V150">
        <f>_xlfn.VAR.S(L143:L169)</f>
        <v>76.877671225071026</v>
      </c>
      <c r="W150">
        <f>_xlfn.VAR.S(M143:M169)</f>
        <v>100.42876410256409</v>
      </c>
      <c r="X150">
        <f>_xlfn.VAR.S(N143:N169)</f>
        <v>75.888555840455837</v>
      </c>
      <c r="Z150" t="s">
        <v>291</v>
      </c>
      <c r="AH150" s="56">
        <f t="array" ref="AH150">MMULT(G136:H136-$AK$24:$AL$24,MMULT($AK$20:$AL$21,TRANSPOSE(G136:H136-$AK$24:$AL$24)))</f>
        <v>1.4079117548531261</v>
      </c>
      <c r="AI150" s="58">
        <f t="shared" si="9"/>
        <v>0.49462475360261049</v>
      </c>
      <c r="AJ150" s="62" t="str">
        <f t="shared" si="10"/>
        <v/>
      </c>
      <c r="BJ150">
        <v>2</v>
      </c>
      <c r="BK150">
        <v>22</v>
      </c>
      <c r="BL150" t="s">
        <v>11</v>
      </c>
      <c r="BM150">
        <v>2</v>
      </c>
      <c r="BN150">
        <v>18.2</v>
      </c>
      <c r="BO150">
        <v>18.2</v>
      </c>
    </row>
    <row r="151" spans="1:67">
      <c r="A151">
        <v>12</v>
      </c>
      <c r="B151" t="s">
        <v>97</v>
      </c>
      <c r="C151">
        <v>12</v>
      </c>
      <c r="D151">
        <v>2</v>
      </c>
      <c r="E151">
        <v>37</v>
      </c>
      <c r="F151" t="s">
        <v>11</v>
      </c>
      <c r="G151">
        <v>14.6</v>
      </c>
      <c r="H151">
        <v>15.2</v>
      </c>
      <c r="J151">
        <v>22</v>
      </c>
      <c r="K151">
        <v>27.09</v>
      </c>
      <c r="L151">
        <v>24.22</v>
      </c>
      <c r="M151">
        <v>30.33</v>
      </c>
      <c r="N151">
        <v>24.8</v>
      </c>
      <c r="S151" t="s">
        <v>292</v>
      </c>
      <c r="T151">
        <f>KURT(J143:J169)</f>
        <v>1.6180121100117795E-3</v>
      </c>
      <c r="U151">
        <f>KURT(K143:K169)</f>
        <v>0.55057378996529405</v>
      </c>
      <c r="V151">
        <f>KURT(L143:L169)</f>
        <v>0.6842058907724029</v>
      </c>
      <c r="W151">
        <f>KURT(M143:M169)</f>
        <v>-0.41600050364779229</v>
      </c>
      <c r="X151">
        <f>KURT(N143:N169)</f>
        <v>-0.50125955347532702</v>
      </c>
      <c r="BJ151">
        <v>2</v>
      </c>
      <c r="BK151">
        <v>37</v>
      </c>
      <c r="BL151" t="s">
        <v>11</v>
      </c>
      <c r="BM151">
        <v>2</v>
      </c>
      <c r="BN151">
        <v>15.2</v>
      </c>
      <c r="BO151">
        <v>15.2</v>
      </c>
    </row>
    <row r="152" spans="1:67">
      <c r="A152">
        <v>13</v>
      </c>
      <c r="B152" t="s">
        <v>104</v>
      </c>
      <c r="C152">
        <v>13</v>
      </c>
      <c r="D152">
        <v>1</v>
      </c>
      <c r="E152">
        <v>23</v>
      </c>
      <c r="F152" t="s">
        <v>11</v>
      </c>
      <c r="G152">
        <v>20.8</v>
      </c>
      <c r="H152">
        <v>20.6</v>
      </c>
      <c r="J152">
        <v>16.100000000000001</v>
      </c>
      <c r="K152">
        <v>53.56</v>
      </c>
      <c r="L152">
        <v>22.74</v>
      </c>
      <c r="M152">
        <v>17.41</v>
      </c>
      <c r="N152">
        <v>19.87</v>
      </c>
      <c r="S152" t="s">
        <v>293</v>
      </c>
      <c r="T152">
        <f>SKEW(J143:J169)</f>
        <v>-0.33524778772460395</v>
      </c>
      <c r="U152">
        <f>SKEW(K143:K169)</f>
        <v>0.47433252030074818</v>
      </c>
      <c r="V152">
        <f>SKEW(L143:L169)</f>
        <v>-1.0779783111097474</v>
      </c>
      <c r="W152">
        <f>SKEW(M143:M169)</f>
        <v>0.39302507341322834</v>
      </c>
      <c r="X152">
        <f>SKEW(N143:N169)</f>
        <v>-0.38895179804641239</v>
      </c>
      <c r="Z152" s="45" t="s">
        <v>294</v>
      </c>
      <c r="AA152" s="45">
        <f>[1]!DAGOSTINO(J143:J169)</f>
        <v>0.6727226038388302</v>
      </c>
      <c r="AB152" s="45">
        <f>[1]!DAGOSTINO(K143:K169)</f>
        <v>1.894803909506797</v>
      </c>
      <c r="AC152" s="45">
        <f>[1]!DAGOSTINO(L143:L169)</f>
        <v>6.2248725805145053</v>
      </c>
      <c r="AD152" s="45">
        <f>[1]!DAGOSTINO(M143:M169)</f>
        <v>0.96892690956917804</v>
      </c>
      <c r="AE152" s="45">
        <f>[1]!DAGOSTINO(N143:N169)</f>
        <v>1.0745286202052622</v>
      </c>
      <c r="BJ152">
        <v>1</v>
      </c>
      <c r="BK152">
        <v>23</v>
      </c>
      <c r="BL152" t="s">
        <v>11</v>
      </c>
      <c r="BM152">
        <v>1</v>
      </c>
      <c r="BN152">
        <v>20.6</v>
      </c>
      <c r="BO152">
        <v>20.6</v>
      </c>
    </row>
    <row r="153" spans="1:67">
      <c r="A153">
        <v>14</v>
      </c>
      <c r="B153" t="s">
        <v>106</v>
      </c>
      <c r="C153">
        <v>14</v>
      </c>
      <c r="D153">
        <v>2</v>
      </c>
      <c r="E153">
        <v>64</v>
      </c>
      <c r="F153" t="s">
        <v>11</v>
      </c>
      <c r="G153">
        <v>23</v>
      </c>
      <c r="H153">
        <v>24.5</v>
      </c>
      <c r="J153">
        <v>18.5</v>
      </c>
      <c r="K153">
        <v>42.08</v>
      </c>
      <c r="L153">
        <v>26.96</v>
      </c>
      <c r="M153">
        <v>3.76</v>
      </c>
      <c r="N153">
        <v>18.86</v>
      </c>
      <c r="S153" t="s">
        <v>295</v>
      </c>
      <c r="T153">
        <f>T154-T155</f>
        <v>14.600000000000001</v>
      </c>
      <c r="U153">
        <f>U154-U155</f>
        <v>42.67</v>
      </c>
      <c r="V153">
        <f>V154-V155</f>
        <v>34</v>
      </c>
      <c r="W153">
        <f>W154-W155</f>
        <v>36.81</v>
      </c>
      <c r="X153">
        <f>X154-X155</f>
        <v>29.7</v>
      </c>
      <c r="Z153" t="s">
        <v>23</v>
      </c>
      <c r="AA153">
        <f>[1]!DPTEST(J143:J169)</f>
        <v>0.71436495775377096</v>
      </c>
      <c r="AB153">
        <f>[1]!DPTEST(K143:K169)</f>
        <v>0.38774710048306904</v>
      </c>
      <c r="AC153">
        <f>[1]!DPTEST(L143:L169)</f>
        <v>4.4492426724600409E-2</v>
      </c>
      <c r="AD153">
        <f>[1]!DPTEST(M143:M169)</f>
        <v>0.61602763478889422</v>
      </c>
      <c r="AE153">
        <f>[1]!DPTEST(N143:N169)</f>
        <v>0.58434465351433251</v>
      </c>
      <c r="BJ153">
        <v>2</v>
      </c>
      <c r="BK153">
        <v>64</v>
      </c>
      <c r="BL153" t="s">
        <v>11</v>
      </c>
      <c r="BM153">
        <v>2</v>
      </c>
      <c r="BN153">
        <v>24.5</v>
      </c>
      <c r="BO153">
        <v>24.5</v>
      </c>
    </row>
    <row r="154" spans="1:67">
      <c r="A154">
        <v>15</v>
      </c>
      <c r="B154" t="s">
        <v>121</v>
      </c>
      <c r="C154">
        <v>15</v>
      </c>
      <c r="D154">
        <v>1</v>
      </c>
      <c r="E154">
        <v>27</v>
      </c>
      <c r="F154" t="s">
        <v>11</v>
      </c>
      <c r="G154">
        <v>19.3</v>
      </c>
      <c r="H154">
        <v>20.399999999999999</v>
      </c>
      <c r="J154">
        <v>14.6</v>
      </c>
      <c r="K154">
        <v>31.79</v>
      </c>
      <c r="L154">
        <v>36.29</v>
      </c>
      <c r="M154">
        <v>19.98</v>
      </c>
      <c r="N154">
        <v>23.98</v>
      </c>
      <c r="S154" t="s">
        <v>7</v>
      </c>
      <c r="T154">
        <f>MAX(J143:J169)</f>
        <v>24.1</v>
      </c>
      <c r="U154">
        <f>MAX(K143:K169)</f>
        <v>53.56</v>
      </c>
      <c r="V154">
        <f>MAX(L143:L169)</f>
        <v>36.29</v>
      </c>
      <c r="W154">
        <f>MAX(M143:M169)</f>
        <v>39.340000000000003</v>
      </c>
      <c r="X154">
        <f>MAX(N143:N169)</f>
        <v>34.58</v>
      </c>
      <c r="Z154" t="s">
        <v>286</v>
      </c>
      <c r="AA154">
        <v>0.05</v>
      </c>
      <c r="AB154">
        <v>0.05</v>
      </c>
      <c r="AC154">
        <v>0.05</v>
      </c>
      <c r="AD154">
        <v>0.05</v>
      </c>
      <c r="AE154">
        <v>0.05</v>
      </c>
      <c r="BJ154">
        <v>1</v>
      </c>
      <c r="BK154">
        <v>27</v>
      </c>
      <c r="BL154" t="s">
        <v>11</v>
      </c>
      <c r="BM154">
        <v>1</v>
      </c>
      <c r="BN154">
        <v>20.399999999999999</v>
      </c>
      <c r="BO154">
        <v>20.399999999999999</v>
      </c>
    </row>
    <row r="155" spans="1:67">
      <c r="A155">
        <v>16</v>
      </c>
      <c r="B155" t="s">
        <v>124</v>
      </c>
      <c r="C155">
        <v>16</v>
      </c>
      <c r="D155">
        <v>1</v>
      </c>
      <c r="E155">
        <v>68</v>
      </c>
      <c r="F155" t="s">
        <v>11</v>
      </c>
      <c r="G155">
        <v>16.600000000000001</v>
      </c>
      <c r="H155">
        <v>16.7</v>
      </c>
      <c r="J155">
        <v>20.8</v>
      </c>
      <c r="K155">
        <v>35.869999999999997</v>
      </c>
      <c r="L155">
        <v>28.43</v>
      </c>
      <c r="M155">
        <v>2.56</v>
      </c>
      <c r="N155">
        <v>24.65</v>
      </c>
      <c r="S155" t="s">
        <v>8</v>
      </c>
      <c r="T155">
        <f>MIN(J143:J169)</f>
        <v>9.5</v>
      </c>
      <c r="U155">
        <f>MIN(K143:K169)</f>
        <v>10.89</v>
      </c>
      <c r="V155">
        <f>MIN(L143:L169)</f>
        <v>2.29</v>
      </c>
      <c r="W155">
        <f>MIN(M143:M169)</f>
        <v>2.5299999999999998</v>
      </c>
      <c r="X155">
        <f>MIN(N143:N169)</f>
        <v>4.88</v>
      </c>
      <c r="Z155" s="41" t="s">
        <v>288</v>
      </c>
      <c r="AA155" s="44" t="str">
        <f>IF(AA153&lt;AA154,"no","yes")</f>
        <v>yes</v>
      </c>
      <c r="AB155" s="44" t="str">
        <f>IF(AB153&lt;AB154,"no","yes")</f>
        <v>yes</v>
      </c>
      <c r="AC155" s="44" t="str">
        <f>IF(AC153&lt;AC154,"no","yes")</f>
        <v>no</v>
      </c>
      <c r="AD155" s="44" t="str">
        <f>IF(AD153&lt;AD154,"no","yes")</f>
        <v>yes</v>
      </c>
      <c r="AE155" s="44" t="str">
        <f>IF(AE153&lt;AE154,"no","yes")</f>
        <v>yes</v>
      </c>
      <c r="BJ155">
        <v>1</v>
      </c>
      <c r="BK155">
        <v>68</v>
      </c>
      <c r="BL155" t="s">
        <v>11</v>
      </c>
      <c r="BM155">
        <v>1</v>
      </c>
      <c r="BN155">
        <v>16.7</v>
      </c>
      <c r="BO155">
        <v>16.7</v>
      </c>
    </row>
    <row r="156" spans="1:67">
      <c r="A156">
        <v>17</v>
      </c>
      <c r="B156" t="s">
        <v>128</v>
      </c>
      <c r="C156">
        <v>17</v>
      </c>
      <c r="D156">
        <v>2</v>
      </c>
      <c r="E156">
        <v>18</v>
      </c>
      <c r="F156" t="s">
        <v>11</v>
      </c>
      <c r="G156">
        <v>21.5</v>
      </c>
      <c r="H156">
        <v>21.5</v>
      </c>
      <c r="J156">
        <v>23</v>
      </c>
      <c r="K156">
        <v>20.89</v>
      </c>
      <c r="L156">
        <v>16.600000000000001</v>
      </c>
      <c r="M156">
        <v>4.01</v>
      </c>
      <c r="N156">
        <v>18.95</v>
      </c>
      <c r="S156" t="s">
        <v>129</v>
      </c>
      <c r="T156">
        <f>SUM(J143:J169)</f>
        <v>471.9</v>
      </c>
      <c r="U156">
        <f>SUM(K143:K169)</f>
        <v>819.42999999999984</v>
      </c>
      <c r="V156">
        <f>SUM(L143:L169)</f>
        <v>585.25000000000011</v>
      </c>
      <c r="W156">
        <f>SUM(M143:M169)</f>
        <v>468.21</v>
      </c>
      <c r="X156">
        <f>SUM(N143:N169)</f>
        <v>560.41</v>
      </c>
      <c r="BJ156">
        <v>2</v>
      </c>
      <c r="BK156">
        <v>18</v>
      </c>
      <c r="BL156" t="s">
        <v>11</v>
      </c>
      <c r="BM156">
        <v>2</v>
      </c>
      <c r="BN156">
        <v>21.5</v>
      </c>
      <c r="BO156">
        <v>21.5</v>
      </c>
    </row>
    <row r="157" spans="1:67">
      <c r="A157">
        <v>18</v>
      </c>
      <c r="B157" t="s">
        <v>134</v>
      </c>
      <c r="C157">
        <v>18</v>
      </c>
      <c r="D157">
        <v>1</v>
      </c>
      <c r="E157">
        <v>51</v>
      </c>
      <c r="F157" t="s">
        <v>11</v>
      </c>
      <c r="G157">
        <v>21</v>
      </c>
      <c r="H157">
        <v>22.4</v>
      </c>
      <c r="J157">
        <v>19.3</v>
      </c>
      <c r="K157">
        <v>21.8</v>
      </c>
      <c r="L157">
        <v>3.23</v>
      </c>
      <c r="M157">
        <v>12.84</v>
      </c>
      <c r="N157">
        <v>27.18</v>
      </c>
      <c r="S157" t="s">
        <v>116</v>
      </c>
      <c r="T157">
        <f>COUNT(J143:J169)</f>
        <v>27</v>
      </c>
      <c r="U157">
        <f>COUNT(K143:K169)</f>
        <v>27</v>
      </c>
      <c r="V157">
        <f>COUNT(L143:L169)</f>
        <v>27</v>
      </c>
      <c r="W157">
        <f>COUNT(M143:M169)</f>
        <v>27</v>
      </c>
      <c r="X157">
        <f>COUNT(N143:N169)</f>
        <v>27</v>
      </c>
      <c r="BJ157">
        <v>1</v>
      </c>
      <c r="BK157">
        <v>51</v>
      </c>
      <c r="BL157" t="s">
        <v>11</v>
      </c>
      <c r="BM157">
        <v>1</v>
      </c>
      <c r="BN157">
        <v>22.4</v>
      </c>
      <c r="BO157">
        <v>22.4</v>
      </c>
    </row>
    <row r="158" spans="1:67">
      <c r="A158">
        <v>19</v>
      </c>
      <c r="B158" t="s">
        <v>139</v>
      </c>
      <c r="C158">
        <v>19</v>
      </c>
      <c r="D158">
        <v>2</v>
      </c>
      <c r="E158">
        <v>34</v>
      </c>
      <c r="F158" t="s">
        <v>11</v>
      </c>
      <c r="G158">
        <v>15.9</v>
      </c>
      <c r="H158">
        <v>16.100000000000001</v>
      </c>
      <c r="J158">
        <v>16.600000000000001</v>
      </c>
      <c r="K158">
        <v>34.58</v>
      </c>
      <c r="L158">
        <v>17.350000000000001</v>
      </c>
      <c r="M158">
        <v>6.84</v>
      </c>
      <c r="N158">
        <v>29.21</v>
      </c>
      <c r="S158" t="s">
        <v>296</v>
      </c>
      <c r="T158">
        <f>GEOMEAN(J143:J169)</f>
        <v>17.066018275945485</v>
      </c>
      <c r="U158">
        <f>GEOMEAN(K143:K169)</f>
        <v>28.834847953943783</v>
      </c>
      <c r="V158">
        <f>GEOMEAN(L143:L169)</f>
        <v>18.30436433014415</v>
      </c>
      <c r="W158">
        <f>GEOMEAN(M143:M169)</f>
        <v>13.870687516340519</v>
      </c>
      <c r="X158">
        <f>GEOMEAN(N143:N169)</f>
        <v>18.299561268593727</v>
      </c>
      <c r="Z158" t="s">
        <v>297</v>
      </c>
      <c r="AC158" t="s">
        <v>286</v>
      </c>
      <c r="AD158">
        <v>0.05</v>
      </c>
      <c r="BJ158">
        <v>2</v>
      </c>
      <c r="BK158">
        <v>34</v>
      </c>
      <c r="BL158" t="s">
        <v>11</v>
      </c>
      <c r="BM158">
        <v>2</v>
      </c>
      <c r="BN158">
        <v>16.100000000000001</v>
      </c>
      <c r="BO158">
        <v>16.100000000000001</v>
      </c>
    </row>
    <row r="159" spans="1:67">
      <c r="A159">
        <v>20</v>
      </c>
      <c r="B159" t="s">
        <v>140</v>
      </c>
      <c r="C159">
        <v>20</v>
      </c>
      <c r="D159">
        <v>2</v>
      </c>
      <c r="E159">
        <v>63</v>
      </c>
      <c r="F159" t="s">
        <v>11</v>
      </c>
      <c r="G159">
        <v>9.5</v>
      </c>
      <c r="H159">
        <v>0.6</v>
      </c>
      <c r="J159">
        <v>21.5</v>
      </c>
      <c r="K159">
        <v>28.17</v>
      </c>
      <c r="L159">
        <v>3.5</v>
      </c>
      <c r="M159">
        <v>33.409999999999997</v>
      </c>
      <c r="N159">
        <v>22.08</v>
      </c>
      <c r="S159" t="s">
        <v>298</v>
      </c>
      <c r="T159">
        <f>HARMEAN(J143:J169)</f>
        <v>16.603370605261237</v>
      </c>
      <c r="U159">
        <f>HARMEAN(K143:K169)</f>
        <v>27.17651787052564</v>
      </c>
      <c r="V159">
        <f>HARMEAN(L143:L169)</f>
        <v>12.505954960893012</v>
      </c>
      <c r="W159">
        <f>HARMEAN(M143:M169)</f>
        <v>9.9030138785959512</v>
      </c>
      <c r="X159">
        <f>HARMEAN(N143:N169)</f>
        <v>15.10417228228912</v>
      </c>
      <c r="Z159" t="s">
        <v>299</v>
      </c>
      <c r="AA159" t="s">
        <v>47</v>
      </c>
      <c r="AB159" t="s">
        <v>3</v>
      </c>
      <c r="AC159" t="s">
        <v>300</v>
      </c>
      <c r="AD159" t="s">
        <v>76</v>
      </c>
      <c r="AE159" t="s">
        <v>301</v>
      </c>
      <c r="BJ159">
        <v>2</v>
      </c>
      <c r="BK159">
        <v>63</v>
      </c>
      <c r="BL159" t="s">
        <v>11</v>
      </c>
      <c r="BM159">
        <v>2</v>
      </c>
      <c r="BN159">
        <v>0.6</v>
      </c>
      <c r="BO159">
        <v>0.6</v>
      </c>
    </row>
    <row r="160" spans="1:67">
      <c r="A160">
        <v>21</v>
      </c>
      <c r="B160" t="s">
        <v>142</v>
      </c>
      <c r="C160">
        <v>21</v>
      </c>
      <c r="D160">
        <v>2</v>
      </c>
      <c r="E160">
        <v>47</v>
      </c>
      <c r="F160" t="s">
        <v>11</v>
      </c>
      <c r="G160">
        <v>24.1</v>
      </c>
      <c r="H160">
        <v>23.1</v>
      </c>
      <c r="J160">
        <v>21</v>
      </c>
      <c r="K160">
        <v>22.02</v>
      </c>
      <c r="L160">
        <v>21.79</v>
      </c>
      <c r="M160">
        <v>13.62</v>
      </c>
      <c r="N160">
        <v>34.479999999999997</v>
      </c>
      <c r="S160" t="s">
        <v>302</v>
      </c>
      <c r="T160">
        <f>AVEDEV(J143:J169)</f>
        <v>2.9415637860082309</v>
      </c>
      <c r="U160">
        <f>AVEDEV(K143:K169)</f>
        <v>7.3985459533607685</v>
      </c>
      <c r="V160">
        <f>AVEDEV(L143:L169)</f>
        <v>6.3955006858710544</v>
      </c>
      <c r="W160">
        <f>AVEDEV(M143:M169)</f>
        <v>7.8744855967078182</v>
      </c>
      <c r="X160">
        <f>AVEDEV(N143:N169)</f>
        <v>6.8027434842249646</v>
      </c>
      <c r="Z160" t="s">
        <v>11</v>
      </c>
      <c r="AA160">
        <v>17.477777777777778</v>
      </c>
      <c r="AB160">
        <v>27</v>
      </c>
      <c r="AC160">
        <v>350.5866666666667</v>
      </c>
      <c r="BJ160">
        <v>2</v>
      </c>
      <c r="BK160">
        <v>47</v>
      </c>
      <c r="BL160" t="s">
        <v>11</v>
      </c>
      <c r="BM160">
        <v>2</v>
      </c>
      <c r="BN160">
        <v>23.1</v>
      </c>
      <c r="BO160">
        <v>23.1</v>
      </c>
    </row>
    <row r="161" spans="1:67">
      <c r="A161">
        <v>22</v>
      </c>
      <c r="B161" t="s">
        <v>145</v>
      </c>
      <c r="C161">
        <v>22</v>
      </c>
      <c r="D161">
        <v>1</v>
      </c>
      <c r="E161">
        <v>26</v>
      </c>
      <c r="F161" t="s">
        <v>11</v>
      </c>
      <c r="G161">
        <v>14.7</v>
      </c>
      <c r="H161">
        <v>14.4</v>
      </c>
      <c r="J161">
        <v>15.9</v>
      </c>
      <c r="K161">
        <v>10.89</v>
      </c>
      <c r="L161">
        <v>27.89</v>
      </c>
      <c r="M161">
        <v>18.690000000000001</v>
      </c>
      <c r="N161">
        <v>32.549999999999997</v>
      </c>
      <c r="S161" t="s">
        <v>303</v>
      </c>
      <c r="T161">
        <f>[1]!MAD(J143:J169)</f>
        <v>2.7000000000000011</v>
      </c>
      <c r="U161">
        <f>[1]!MAD(K143:K169)</f>
        <v>6.48</v>
      </c>
      <c r="V161">
        <f>[1]!MAD(L143:L169)</f>
        <v>4.0199999999999996</v>
      </c>
      <c r="W161">
        <f>[1]!MAD(M143:M169)</f>
        <v>6.9199999999999982</v>
      </c>
      <c r="X161">
        <f>[1]!MAD(N143:N169)</f>
        <v>4.1599999999999966</v>
      </c>
      <c r="Z161" t="s">
        <v>12</v>
      </c>
      <c r="AA161">
        <v>30.349259259259252</v>
      </c>
      <c r="AB161">
        <v>27</v>
      </c>
      <c r="AC161">
        <v>2382.5481851851846</v>
      </c>
      <c r="BJ161">
        <v>1</v>
      </c>
      <c r="BK161">
        <v>26</v>
      </c>
      <c r="BL161" t="s">
        <v>11</v>
      </c>
      <c r="BM161">
        <v>1</v>
      </c>
      <c r="BN161">
        <v>14.4</v>
      </c>
      <c r="BO161">
        <v>14.4</v>
      </c>
    </row>
    <row r="162" spans="1:67">
      <c r="A162">
        <v>23</v>
      </c>
      <c r="B162" t="s">
        <v>150</v>
      </c>
      <c r="C162">
        <v>23</v>
      </c>
      <c r="D162">
        <v>1</v>
      </c>
      <c r="E162">
        <v>52</v>
      </c>
      <c r="F162" t="s">
        <v>11</v>
      </c>
      <c r="G162">
        <v>16.899999999999999</v>
      </c>
      <c r="H162">
        <v>16.3</v>
      </c>
      <c r="J162">
        <v>9.5</v>
      </c>
      <c r="K162">
        <v>30.78</v>
      </c>
      <c r="L162">
        <v>2.29</v>
      </c>
      <c r="M162">
        <v>2.5299999999999998</v>
      </c>
      <c r="N162">
        <v>31.86</v>
      </c>
      <c r="S162" s="41" t="s">
        <v>9</v>
      </c>
      <c r="T162" s="41">
        <f>[1]!IQR(J143:J169,FALSE)</f>
        <v>5.1000000000000014</v>
      </c>
      <c r="U162" s="41">
        <f>[1]!IQR(K143:K169,FALSE)</f>
        <v>11.549999999999994</v>
      </c>
      <c r="V162" s="41">
        <f>[1]!IQR(L143:L169,FALSE)</f>
        <v>7.6499999999999986</v>
      </c>
      <c r="W162" s="41">
        <f>[1]!IQR(M143:M169,FALSE)</f>
        <v>12.555</v>
      </c>
      <c r="X162" s="41">
        <f>[1]!IQR(N143:N169,FALSE)</f>
        <v>7.9549999999999983</v>
      </c>
      <c r="Z162" t="s">
        <v>13</v>
      </c>
      <c r="AA162">
        <v>21.675925925925931</v>
      </c>
      <c r="AB162">
        <v>27</v>
      </c>
      <c r="AC162">
        <v>1998.8194518518519</v>
      </c>
      <c r="BJ162">
        <v>1</v>
      </c>
      <c r="BK162">
        <v>52</v>
      </c>
      <c r="BL162" t="s">
        <v>11</v>
      </c>
      <c r="BM162">
        <v>1</v>
      </c>
      <c r="BN162">
        <v>16.3</v>
      </c>
      <c r="BO162">
        <v>16.3</v>
      </c>
    </row>
    <row r="163" spans="1:67">
      <c r="A163">
        <v>24</v>
      </c>
      <c r="B163" t="s">
        <v>152</v>
      </c>
      <c r="C163">
        <v>24</v>
      </c>
      <c r="D163">
        <v>1</v>
      </c>
      <c r="E163">
        <v>51</v>
      </c>
      <c r="F163" t="s">
        <v>11</v>
      </c>
      <c r="G163">
        <v>14.9</v>
      </c>
      <c r="H163">
        <v>15.2</v>
      </c>
      <c r="J163">
        <v>24.1</v>
      </c>
      <c r="K163">
        <v>32.479999999999997</v>
      </c>
      <c r="L163">
        <v>29.05</v>
      </c>
      <c r="M163">
        <v>9.06</v>
      </c>
      <c r="N163">
        <v>19.920000000000002</v>
      </c>
      <c r="Z163" t="s">
        <v>14</v>
      </c>
      <c r="AA163">
        <v>17.341111111111111</v>
      </c>
      <c r="AB163">
        <v>27</v>
      </c>
      <c r="AC163">
        <v>2611.1478666666653</v>
      </c>
      <c r="BJ163">
        <v>1</v>
      </c>
      <c r="BK163">
        <v>51</v>
      </c>
      <c r="BL163" t="s">
        <v>11</v>
      </c>
      <c r="BM163">
        <v>1</v>
      </c>
      <c r="BN163">
        <v>15.2</v>
      </c>
      <c r="BO163">
        <v>15.2</v>
      </c>
    </row>
    <row r="164" spans="1:67">
      <c r="A164">
        <v>25</v>
      </c>
      <c r="B164" t="s">
        <v>153</v>
      </c>
      <c r="C164">
        <v>25</v>
      </c>
      <c r="D164">
        <v>2</v>
      </c>
      <c r="E164">
        <v>44</v>
      </c>
      <c r="F164" t="s">
        <v>11</v>
      </c>
      <c r="G164">
        <v>19</v>
      </c>
      <c r="H164">
        <v>18.3</v>
      </c>
      <c r="J164">
        <v>14.7</v>
      </c>
      <c r="K164">
        <v>49.96</v>
      </c>
      <c r="L164">
        <v>31.71</v>
      </c>
      <c r="M164">
        <v>11.72</v>
      </c>
      <c r="N164">
        <v>13.29</v>
      </c>
      <c r="Z164" t="s">
        <v>15</v>
      </c>
      <c r="AA164">
        <v>20.755925925925926</v>
      </c>
      <c r="AB164">
        <v>27</v>
      </c>
      <c r="AC164">
        <v>1973.1024518518518</v>
      </c>
      <c r="BJ164">
        <v>2</v>
      </c>
      <c r="BK164">
        <v>44</v>
      </c>
      <c r="BL164" t="s">
        <v>11</v>
      </c>
      <c r="BM164">
        <v>2</v>
      </c>
      <c r="BN164">
        <v>18.3</v>
      </c>
      <c r="BO164">
        <v>18.3</v>
      </c>
    </row>
    <row r="165" spans="1:67">
      <c r="A165">
        <v>26</v>
      </c>
      <c r="B165" t="s">
        <v>159</v>
      </c>
      <c r="C165">
        <v>26</v>
      </c>
      <c r="D165">
        <v>2</v>
      </c>
      <c r="E165">
        <v>70</v>
      </c>
      <c r="F165" t="s">
        <v>11</v>
      </c>
      <c r="G165">
        <v>15</v>
      </c>
      <c r="H165">
        <v>15.5</v>
      </c>
      <c r="J165">
        <v>16.899999999999999</v>
      </c>
      <c r="K165">
        <v>38.65</v>
      </c>
      <c r="L165">
        <v>20.43</v>
      </c>
      <c r="M165">
        <v>23.52</v>
      </c>
      <c r="N165">
        <v>24.17</v>
      </c>
      <c r="AB165">
        <v>135</v>
      </c>
      <c r="AC165">
        <v>9316.2046222222198</v>
      </c>
      <c r="AD165">
        <v>130</v>
      </c>
      <c r="AE165">
        <v>3.9123846153846151</v>
      </c>
      <c r="BJ165">
        <v>2</v>
      </c>
      <c r="BK165">
        <v>70</v>
      </c>
      <c r="BL165" t="s">
        <v>11</v>
      </c>
      <c r="BM165">
        <v>2</v>
      </c>
      <c r="BN165">
        <v>15.5</v>
      </c>
      <c r="BO165">
        <v>15.5</v>
      </c>
    </row>
    <row r="166" spans="1:67">
      <c r="A166">
        <v>27</v>
      </c>
      <c r="B166" t="s">
        <v>163</v>
      </c>
      <c r="C166">
        <v>27</v>
      </c>
      <c r="D166">
        <v>1</v>
      </c>
      <c r="E166">
        <v>27</v>
      </c>
      <c r="F166" t="s">
        <v>11</v>
      </c>
      <c r="G166">
        <v>9.5</v>
      </c>
      <c r="H166">
        <v>10.5</v>
      </c>
      <c r="J166">
        <v>14.9</v>
      </c>
      <c r="K166">
        <v>26.56</v>
      </c>
      <c r="L166">
        <v>21.31</v>
      </c>
      <c r="M166">
        <v>12.92</v>
      </c>
      <c r="N166">
        <v>25.59</v>
      </c>
      <c r="Z166" t="s">
        <v>304</v>
      </c>
      <c r="BJ166">
        <v>1</v>
      </c>
      <c r="BK166">
        <v>27</v>
      </c>
      <c r="BL166" t="s">
        <v>11</v>
      </c>
      <c r="BM166">
        <v>1</v>
      </c>
      <c r="BN166">
        <v>10.5</v>
      </c>
      <c r="BO166">
        <v>10.5</v>
      </c>
    </row>
    <row r="167" spans="1:67">
      <c r="A167">
        <v>1</v>
      </c>
      <c r="B167" t="s">
        <v>166</v>
      </c>
      <c r="C167">
        <v>28</v>
      </c>
      <c r="D167">
        <v>2</v>
      </c>
      <c r="E167">
        <v>18</v>
      </c>
      <c r="F167" t="s">
        <v>12</v>
      </c>
      <c r="G167">
        <v>24.3</v>
      </c>
      <c r="H167">
        <v>26.56</v>
      </c>
      <c r="J167">
        <v>19</v>
      </c>
      <c r="K167">
        <v>20.55</v>
      </c>
      <c r="L167">
        <v>20.55</v>
      </c>
      <c r="M167">
        <v>26.97</v>
      </c>
      <c r="N167">
        <v>23.83</v>
      </c>
      <c r="Z167" t="s">
        <v>45</v>
      </c>
      <c r="AA167" t="s">
        <v>46</v>
      </c>
      <c r="AB167" t="s">
        <v>47</v>
      </c>
      <c r="AC167" t="s">
        <v>305</v>
      </c>
      <c r="AD167" t="s">
        <v>306</v>
      </c>
      <c r="AE167" t="s">
        <v>158</v>
      </c>
      <c r="AF167" t="s">
        <v>162</v>
      </c>
      <c r="AG167" t="s">
        <v>23</v>
      </c>
      <c r="AH167" t="s">
        <v>307</v>
      </c>
      <c r="AI167" t="s">
        <v>308</v>
      </c>
      <c r="BJ167">
        <v>2</v>
      </c>
      <c r="BK167">
        <v>18</v>
      </c>
      <c r="BL167" t="s">
        <v>12</v>
      </c>
      <c r="BM167">
        <v>2</v>
      </c>
      <c r="BN167">
        <v>26.56</v>
      </c>
      <c r="BO167">
        <v>26.56</v>
      </c>
    </row>
    <row r="168" spans="1:67">
      <c r="A168">
        <v>2</v>
      </c>
      <c r="B168" t="s">
        <v>168</v>
      </c>
      <c r="C168">
        <v>29</v>
      </c>
      <c r="D168">
        <v>2</v>
      </c>
      <c r="E168">
        <v>55</v>
      </c>
      <c r="F168" t="s">
        <v>12</v>
      </c>
      <c r="G168">
        <v>39.03</v>
      </c>
      <c r="H168">
        <v>33.4</v>
      </c>
      <c r="J168">
        <v>15</v>
      </c>
      <c r="K168">
        <v>23.05</v>
      </c>
      <c r="L168">
        <v>23.85</v>
      </c>
      <c r="M168">
        <v>20.85</v>
      </c>
      <c r="N168">
        <v>34.58</v>
      </c>
      <c r="Z168" t="s">
        <v>11</v>
      </c>
      <c r="AA168" t="s">
        <v>12</v>
      </c>
      <c r="AB168">
        <v>12.871481481481474</v>
      </c>
      <c r="AC168">
        <v>1.6291683004098936</v>
      </c>
      <c r="AD168">
        <v>7.9006456719315317</v>
      </c>
      <c r="AE168">
        <v>6.4975484870855063</v>
      </c>
      <c r="AF168">
        <v>19.245414475877443</v>
      </c>
      <c r="AG168">
        <v>1.2865590909294511E-6</v>
      </c>
      <c r="AH168">
        <v>6.3739329943959682</v>
      </c>
      <c r="AI168">
        <v>1.5204799684871737</v>
      </c>
      <c r="BJ168">
        <v>2</v>
      </c>
      <c r="BK168">
        <v>55</v>
      </c>
      <c r="BL168" t="s">
        <v>12</v>
      </c>
      <c r="BM168">
        <v>2</v>
      </c>
      <c r="BN168">
        <v>33.4</v>
      </c>
      <c r="BO168">
        <v>33.4</v>
      </c>
    </row>
    <row r="169" spans="1:67">
      <c r="A169">
        <v>3</v>
      </c>
      <c r="B169" t="s">
        <v>169</v>
      </c>
      <c r="C169">
        <v>30</v>
      </c>
      <c r="D169">
        <v>2</v>
      </c>
      <c r="E169">
        <v>29</v>
      </c>
      <c r="F169" t="s">
        <v>12</v>
      </c>
      <c r="G169">
        <v>33.4</v>
      </c>
      <c r="H169">
        <v>43.01</v>
      </c>
      <c r="J169">
        <v>9.5</v>
      </c>
      <c r="K169">
        <v>31.49</v>
      </c>
      <c r="L169">
        <v>27.59</v>
      </c>
      <c r="M169">
        <v>18.43</v>
      </c>
      <c r="N169">
        <v>17.920000000000002</v>
      </c>
      <c r="Z169" t="s">
        <v>11</v>
      </c>
      <c r="AA169" t="s">
        <v>13</v>
      </c>
      <c r="AB169">
        <v>4.1981481481481531</v>
      </c>
      <c r="AC169">
        <v>1.6291683004098936</v>
      </c>
      <c r="AD169">
        <v>2.5768658444262096</v>
      </c>
      <c r="AE169">
        <v>-2.1757848462478151</v>
      </c>
      <c r="AF169">
        <v>10.572081142544121</v>
      </c>
      <c r="AG169">
        <v>0.36537818594967753</v>
      </c>
      <c r="AH169">
        <v>6.3739329943959682</v>
      </c>
      <c r="AI169">
        <v>0.49591806298167473</v>
      </c>
      <c r="BJ169">
        <v>2</v>
      </c>
      <c r="BK169">
        <v>29</v>
      </c>
      <c r="BL169" t="s">
        <v>12</v>
      </c>
      <c r="BM169">
        <v>2</v>
      </c>
      <c r="BN169">
        <v>43.01</v>
      </c>
      <c r="BO169">
        <v>43.01</v>
      </c>
    </row>
    <row r="170" spans="1:67">
      <c r="A170">
        <v>4</v>
      </c>
      <c r="B170" t="s">
        <v>170</v>
      </c>
      <c r="C170">
        <v>31</v>
      </c>
      <c r="D170">
        <v>2</v>
      </c>
      <c r="E170">
        <v>26</v>
      </c>
      <c r="F170" t="s">
        <v>12</v>
      </c>
      <c r="G170">
        <v>38.19</v>
      </c>
      <c r="H170">
        <v>38.340000000000003</v>
      </c>
      <c r="Z170" t="s">
        <v>11</v>
      </c>
      <c r="AA170" t="s">
        <v>14</v>
      </c>
      <c r="AB170">
        <v>0.13666666666666671</v>
      </c>
      <c r="AC170">
        <v>1.6291683004098936</v>
      </c>
      <c r="AD170">
        <v>8.38873839076551E-2</v>
      </c>
      <c r="AE170">
        <v>-6.2372663277293015</v>
      </c>
      <c r="AF170">
        <v>6.5105996610626349</v>
      </c>
      <c r="AG170">
        <v>0.99999715679936274</v>
      </c>
      <c r="AH170">
        <v>6.3739329943959682</v>
      </c>
      <c r="AI170">
        <v>1.6144134560232715E-2</v>
      </c>
      <c r="BJ170">
        <v>2</v>
      </c>
      <c r="BK170">
        <v>26</v>
      </c>
      <c r="BL170" t="s">
        <v>12</v>
      </c>
      <c r="BM170">
        <v>2</v>
      </c>
      <c r="BN170">
        <v>38.340000000000003</v>
      </c>
      <c r="BO170">
        <v>38.340000000000003</v>
      </c>
    </row>
    <row r="171" spans="1:67">
      <c r="A171">
        <v>5</v>
      </c>
      <c r="B171" t="s">
        <v>172</v>
      </c>
      <c r="C171">
        <v>32</v>
      </c>
      <c r="D171">
        <v>2</v>
      </c>
      <c r="E171">
        <v>24</v>
      </c>
      <c r="F171" t="s">
        <v>12</v>
      </c>
      <c r="G171">
        <v>27.5</v>
      </c>
      <c r="H171">
        <v>35.549999999999997</v>
      </c>
      <c r="Z171" t="s">
        <v>11</v>
      </c>
      <c r="AA171" t="s">
        <v>15</v>
      </c>
      <c r="AB171">
        <v>3.2781481481481478</v>
      </c>
      <c r="AC171">
        <v>1.6291683004098936</v>
      </c>
      <c r="AD171">
        <v>2.0121605283649187</v>
      </c>
      <c r="AE171">
        <v>-3.0957848462478204</v>
      </c>
      <c r="AF171">
        <v>9.652081142544116</v>
      </c>
      <c r="AG171">
        <v>0.61415095346808068</v>
      </c>
      <c r="AH171">
        <v>6.3739329943959682</v>
      </c>
      <c r="AI171">
        <v>0.38724047423474173</v>
      </c>
      <c r="BJ171">
        <v>2</v>
      </c>
      <c r="BK171">
        <v>24</v>
      </c>
      <c r="BL171" t="s">
        <v>12</v>
      </c>
      <c r="BM171">
        <v>2</v>
      </c>
      <c r="BN171">
        <v>35.549999999999997</v>
      </c>
      <c r="BO171">
        <v>35.549999999999997</v>
      </c>
    </row>
    <row r="172" spans="1:67">
      <c r="A172">
        <v>6</v>
      </c>
      <c r="B172" t="s">
        <v>173</v>
      </c>
      <c r="C172">
        <v>33</v>
      </c>
      <c r="D172">
        <v>2</v>
      </c>
      <c r="E172">
        <v>30</v>
      </c>
      <c r="F172" t="s">
        <v>12</v>
      </c>
      <c r="G172">
        <v>24.88</v>
      </c>
      <c r="H172">
        <v>26.82</v>
      </c>
      <c r="Z172" t="s">
        <v>12</v>
      </c>
      <c r="AA172" t="s">
        <v>13</v>
      </c>
      <c r="AB172">
        <v>8.6733333333333213</v>
      </c>
      <c r="AC172">
        <v>1.6291683004098936</v>
      </c>
      <c r="AD172">
        <v>5.3237798275053221</v>
      </c>
      <c r="AE172">
        <v>2.2994003389373532</v>
      </c>
      <c r="AF172">
        <v>15.04726632772929</v>
      </c>
      <c r="AG172">
        <v>2.3054000009138376E-3</v>
      </c>
      <c r="AH172">
        <v>6.3739329943959682</v>
      </c>
      <c r="AI172">
        <v>1.0245619055054989</v>
      </c>
      <c r="BJ172">
        <v>2</v>
      </c>
      <c r="BK172">
        <v>30</v>
      </c>
      <c r="BL172" t="s">
        <v>12</v>
      </c>
      <c r="BM172">
        <v>2</v>
      </c>
      <c r="BN172">
        <v>26.82</v>
      </c>
      <c r="BO172">
        <v>26.82</v>
      </c>
    </row>
    <row r="173" spans="1:67">
      <c r="A173">
        <v>7</v>
      </c>
      <c r="B173" t="s">
        <v>174</v>
      </c>
      <c r="C173">
        <v>34</v>
      </c>
      <c r="D173">
        <v>2</v>
      </c>
      <c r="E173">
        <v>51</v>
      </c>
      <c r="F173" t="s">
        <v>12</v>
      </c>
      <c r="G173">
        <v>32.909999999999997</v>
      </c>
      <c r="H173">
        <v>18.079999999999998</v>
      </c>
      <c r="Z173" t="s">
        <v>12</v>
      </c>
      <c r="AA173" t="s">
        <v>14</v>
      </c>
      <c r="AB173">
        <v>13.008148148148141</v>
      </c>
      <c r="AC173">
        <v>1.6291683004098936</v>
      </c>
      <c r="AD173">
        <v>7.9845330558391865</v>
      </c>
      <c r="AE173">
        <v>6.634215153752173</v>
      </c>
      <c r="AF173">
        <v>19.382081142544109</v>
      </c>
      <c r="AG173">
        <v>9.7692143696814782E-7</v>
      </c>
      <c r="AH173">
        <v>6.3739329943959682</v>
      </c>
      <c r="AI173">
        <v>1.5366241030474064</v>
      </c>
      <c r="BJ173">
        <v>2</v>
      </c>
      <c r="BK173">
        <v>51</v>
      </c>
      <c r="BL173" t="s">
        <v>12</v>
      </c>
      <c r="BM173">
        <v>2</v>
      </c>
      <c r="BN173">
        <v>18.079999999999998</v>
      </c>
      <c r="BO173">
        <v>18.079999999999998</v>
      </c>
    </row>
    <row r="174" spans="1:67">
      <c r="A174">
        <v>8</v>
      </c>
      <c r="B174" t="s">
        <v>177</v>
      </c>
      <c r="C174">
        <v>35</v>
      </c>
      <c r="D174">
        <v>2</v>
      </c>
      <c r="E174">
        <v>63</v>
      </c>
      <c r="F174" t="s">
        <v>12</v>
      </c>
      <c r="G174">
        <v>16.96</v>
      </c>
      <c r="H174">
        <v>37.770000000000003</v>
      </c>
      <c r="Z174" t="s">
        <v>12</v>
      </c>
      <c r="AA174" t="s">
        <v>15</v>
      </c>
      <c r="AB174">
        <v>9.5933333333333266</v>
      </c>
      <c r="AC174">
        <v>1.6291683004098936</v>
      </c>
      <c r="AD174">
        <v>5.888485143566613</v>
      </c>
      <c r="AE174">
        <v>3.2194003389373584</v>
      </c>
      <c r="AF174">
        <v>15.967266327729295</v>
      </c>
      <c r="AG174">
        <v>5.3570370387634458E-4</v>
      </c>
      <c r="AH174">
        <v>6.3739329943959682</v>
      </c>
      <c r="AI174">
        <v>1.133239494252432</v>
      </c>
      <c r="BJ174">
        <v>2</v>
      </c>
      <c r="BK174">
        <v>63</v>
      </c>
      <c r="BL174" t="s">
        <v>12</v>
      </c>
      <c r="BM174">
        <v>2</v>
      </c>
      <c r="BN174">
        <v>37.770000000000003</v>
      </c>
      <c r="BO174">
        <v>37.770000000000003</v>
      </c>
    </row>
    <row r="175" spans="1:67">
      <c r="A175">
        <v>9</v>
      </c>
      <c r="B175" t="s">
        <v>178</v>
      </c>
      <c r="C175">
        <v>36</v>
      </c>
      <c r="D175">
        <v>2</v>
      </c>
      <c r="E175">
        <v>25</v>
      </c>
      <c r="F175" t="s">
        <v>12</v>
      </c>
      <c r="G175">
        <v>27.09</v>
      </c>
      <c r="H175">
        <v>47.48</v>
      </c>
      <c r="Z175" t="s">
        <v>13</v>
      </c>
      <c r="AA175" t="s">
        <v>14</v>
      </c>
      <c r="AB175">
        <v>4.3348148148148198</v>
      </c>
      <c r="AC175">
        <v>1.6291683004098936</v>
      </c>
      <c r="AD175">
        <v>2.6607532283338649</v>
      </c>
      <c r="AE175">
        <v>-2.0391181795811484</v>
      </c>
      <c r="AF175">
        <v>10.708747809210788</v>
      </c>
      <c r="AG175">
        <v>0.33250070910751983</v>
      </c>
      <c r="AH175">
        <v>6.3739329943959682</v>
      </c>
      <c r="AI175">
        <v>0.51206219754190752</v>
      </c>
      <c r="BJ175">
        <v>2</v>
      </c>
      <c r="BK175">
        <v>25</v>
      </c>
      <c r="BL175" t="s">
        <v>12</v>
      </c>
      <c r="BM175">
        <v>2</v>
      </c>
      <c r="BN175">
        <v>47.48</v>
      </c>
      <c r="BO175">
        <v>47.48</v>
      </c>
    </row>
    <row r="176" spans="1:67">
      <c r="A176">
        <v>10</v>
      </c>
      <c r="B176" t="s">
        <v>179</v>
      </c>
      <c r="C176">
        <v>37</v>
      </c>
      <c r="D176">
        <v>2</v>
      </c>
      <c r="E176">
        <v>31</v>
      </c>
      <c r="F176" t="s">
        <v>12</v>
      </c>
      <c r="G176">
        <v>53.56</v>
      </c>
      <c r="H176">
        <v>39.42</v>
      </c>
      <c r="Z176" t="s">
        <v>13</v>
      </c>
      <c r="AA176" t="s">
        <v>15</v>
      </c>
      <c r="AB176">
        <v>0.92000000000000526</v>
      </c>
      <c r="AC176">
        <v>1.6291683004098936</v>
      </c>
      <c r="AD176">
        <v>0.56470531606129104</v>
      </c>
      <c r="AE176">
        <v>-5.4539329943959629</v>
      </c>
      <c r="AF176">
        <v>7.2939329943959734</v>
      </c>
      <c r="AG176">
        <v>0.9945805361449066</v>
      </c>
      <c r="AH176">
        <v>6.3739329943959682</v>
      </c>
      <c r="AI176">
        <v>0.10867758874693301</v>
      </c>
      <c r="BJ176">
        <v>2</v>
      </c>
      <c r="BK176">
        <v>31</v>
      </c>
      <c r="BL176" t="s">
        <v>12</v>
      </c>
      <c r="BM176">
        <v>2</v>
      </c>
      <c r="BN176">
        <v>39.42</v>
      </c>
      <c r="BO176">
        <v>39.42</v>
      </c>
    </row>
    <row r="177" spans="1:67">
      <c r="A177">
        <v>11</v>
      </c>
      <c r="B177" t="s">
        <v>180</v>
      </c>
      <c r="C177">
        <v>38</v>
      </c>
      <c r="D177">
        <v>2</v>
      </c>
      <c r="E177">
        <v>28</v>
      </c>
      <c r="F177" t="s">
        <v>12</v>
      </c>
      <c r="G177">
        <v>42.08</v>
      </c>
      <c r="H177">
        <v>37.340000000000003</v>
      </c>
      <c r="Z177" t="s">
        <v>14</v>
      </c>
      <c r="AA177" t="s">
        <v>15</v>
      </c>
      <c r="AB177">
        <v>3.4148148148148145</v>
      </c>
      <c r="AC177">
        <v>1.6291683004098936</v>
      </c>
      <c r="AD177">
        <v>2.0960479122725735</v>
      </c>
      <c r="AE177">
        <v>-2.9591181795811536</v>
      </c>
      <c r="AF177">
        <v>9.7887478092107827</v>
      </c>
      <c r="AG177">
        <v>0.57590401215496578</v>
      </c>
      <c r="AH177">
        <v>6.3739329943959682</v>
      </c>
      <c r="AI177">
        <v>0.40338460879497445</v>
      </c>
      <c r="BJ177">
        <v>2</v>
      </c>
      <c r="BK177">
        <v>28</v>
      </c>
      <c r="BL177" t="s">
        <v>12</v>
      </c>
      <c r="BM177">
        <v>2</v>
      </c>
      <c r="BN177">
        <v>37.340000000000003</v>
      </c>
      <c r="BO177">
        <v>37.340000000000003</v>
      </c>
    </row>
    <row r="178" spans="1:67">
      <c r="A178">
        <v>12</v>
      </c>
      <c r="B178" t="s">
        <v>182</v>
      </c>
      <c r="C178">
        <v>39</v>
      </c>
      <c r="D178">
        <v>2</v>
      </c>
      <c r="E178">
        <v>39</v>
      </c>
      <c r="F178" t="s">
        <v>12</v>
      </c>
      <c r="G178">
        <v>31.79</v>
      </c>
      <c r="H178">
        <v>20.89</v>
      </c>
      <c r="BJ178">
        <v>2</v>
      </c>
      <c r="BK178">
        <v>39</v>
      </c>
      <c r="BL178" t="s">
        <v>12</v>
      </c>
      <c r="BM178">
        <v>2</v>
      </c>
      <c r="BN178">
        <v>20.89</v>
      </c>
      <c r="BO178">
        <v>20.89</v>
      </c>
    </row>
    <row r="179" spans="1:67">
      <c r="A179">
        <v>13</v>
      </c>
      <c r="B179" t="s">
        <v>183</v>
      </c>
      <c r="C179">
        <v>40</v>
      </c>
      <c r="D179">
        <v>2</v>
      </c>
      <c r="E179">
        <v>45</v>
      </c>
      <c r="F179" t="s">
        <v>12</v>
      </c>
      <c r="G179">
        <v>35.869999999999997</v>
      </c>
      <c r="H179">
        <v>33.75</v>
      </c>
      <c r="BJ179">
        <v>2</v>
      </c>
      <c r="BK179">
        <v>45</v>
      </c>
      <c r="BL179" t="s">
        <v>12</v>
      </c>
      <c r="BM179">
        <v>2</v>
      </c>
      <c r="BN179">
        <v>33.75</v>
      </c>
      <c r="BO179">
        <v>33.75</v>
      </c>
    </row>
    <row r="180" spans="1:67">
      <c r="A180">
        <v>14</v>
      </c>
      <c r="B180" t="s">
        <v>184</v>
      </c>
      <c r="C180">
        <v>41</v>
      </c>
      <c r="D180">
        <v>2</v>
      </c>
      <c r="E180">
        <v>31</v>
      </c>
      <c r="F180" t="s">
        <v>12</v>
      </c>
      <c r="G180">
        <v>20.89</v>
      </c>
      <c r="H180">
        <v>21.79</v>
      </c>
      <c r="BJ180">
        <v>2</v>
      </c>
      <c r="BK180">
        <v>31</v>
      </c>
      <c r="BL180" t="s">
        <v>12</v>
      </c>
      <c r="BM180">
        <v>2</v>
      </c>
      <c r="BN180">
        <v>21.79</v>
      </c>
      <c r="BO180">
        <v>21.79</v>
      </c>
    </row>
    <row r="181" spans="1:67">
      <c r="A181">
        <v>15</v>
      </c>
      <c r="B181" t="s">
        <v>185</v>
      </c>
      <c r="C181">
        <v>42</v>
      </c>
      <c r="D181">
        <v>2</v>
      </c>
      <c r="E181">
        <v>38</v>
      </c>
      <c r="F181" t="s">
        <v>12</v>
      </c>
      <c r="G181">
        <v>21.8</v>
      </c>
      <c r="H181">
        <v>23.85</v>
      </c>
      <c r="BJ181">
        <v>2</v>
      </c>
      <c r="BK181">
        <v>38</v>
      </c>
      <c r="BL181" t="s">
        <v>12</v>
      </c>
      <c r="BM181">
        <v>2</v>
      </c>
      <c r="BN181">
        <v>23.85</v>
      </c>
      <c r="BO181">
        <v>23.85</v>
      </c>
    </row>
    <row r="182" spans="1:67">
      <c r="A182">
        <v>16</v>
      </c>
      <c r="B182" t="s">
        <v>186</v>
      </c>
      <c r="C182">
        <v>43</v>
      </c>
      <c r="D182">
        <v>2</v>
      </c>
      <c r="E182">
        <v>61</v>
      </c>
      <c r="F182" t="s">
        <v>12</v>
      </c>
      <c r="G182">
        <v>34.58</v>
      </c>
      <c r="H182">
        <v>21.24</v>
      </c>
      <c r="BJ182">
        <v>2</v>
      </c>
      <c r="BK182">
        <v>61</v>
      </c>
      <c r="BL182" t="s">
        <v>12</v>
      </c>
      <c r="BM182">
        <v>2</v>
      </c>
      <c r="BN182">
        <v>21.24</v>
      </c>
      <c r="BO182">
        <v>21.24</v>
      </c>
    </row>
    <row r="183" spans="1:67">
      <c r="A183">
        <v>17</v>
      </c>
      <c r="B183" t="s">
        <v>187</v>
      </c>
      <c r="C183">
        <v>44</v>
      </c>
      <c r="D183">
        <v>1</v>
      </c>
      <c r="E183">
        <v>40</v>
      </c>
      <c r="F183" t="s">
        <v>12</v>
      </c>
      <c r="G183">
        <v>28.17</v>
      </c>
      <c r="H183">
        <v>32.19</v>
      </c>
      <c r="BJ183">
        <v>1</v>
      </c>
      <c r="BK183">
        <v>40</v>
      </c>
      <c r="BL183" t="s">
        <v>12</v>
      </c>
      <c r="BM183">
        <v>1</v>
      </c>
      <c r="BN183">
        <v>32.19</v>
      </c>
      <c r="BO183">
        <v>32.19</v>
      </c>
    </row>
    <row r="184" spans="1:67">
      <c r="A184">
        <v>18</v>
      </c>
      <c r="B184" t="s">
        <v>188</v>
      </c>
      <c r="C184">
        <v>45</v>
      </c>
      <c r="D184">
        <v>1</v>
      </c>
      <c r="E184">
        <v>42</v>
      </c>
      <c r="F184" t="s">
        <v>12</v>
      </c>
      <c r="G184">
        <v>22.02</v>
      </c>
      <c r="H184">
        <v>22.66</v>
      </c>
      <c r="BJ184">
        <v>1</v>
      </c>
      <c r="BK184">
        <v>42</v>
      </c>
      <c r="BL184" t="s">
        <v>12</v>
      </c>
      <c r="BM184">
        <v>1</v>
      </c>
      <c r="BN184">
        <v>22.66</v>
      </c>
      <c r="BO184">
        <v>22.66</v>
      </c>
    </row>
    <row r="185" spans="1:67">
      <c r="A185">
        <v>19</v>
      </c>
      <c r="B185" t="s">
        <v>189</v>
      </c>
      <c r="C185">
        <v>46</v>
      </c>
      <c r="D185">
        <v>2</v>
      </c>
      <c r="E185">
        <v>32</v>
      </c>
      <c r="F185" t="s">
        <v>12</v>
      </c>
      <c r="G185">
        <v>10.89</v>
      </c>
      <c r="H185">
        <v>21.84</v>
      </c>
      <c r="BJ185">
        <v>2</v>
      </c>
      <c r="BK185">
        <v>32</v>
      </c>
      <c r="BL185" t="s">
        <v>12</v>
      </c>
      <c r="BM185">
        <v>2</v>
      </c>
      <c r="BN185">
        <v>21.84</v>
      </c>
      <c r="BO185">
        <v>21.84</v>
      </c>
    </row>
    <row r="186" spans="1:67">
      <c r="A186">
        <v>20</v>
      </c>
      <c r="B186" t="s">
        <v>190</v>
      </c>
      <c r="C186">
        <v>47</v>
      </c>
      <c r="D186">
        <v>1</v>
      </c>
      <c r="E186">
        <v>46</v>
      </c>
      <c r="F186" t="s">
        <v>12</v>
      </c>
      <c r="G186">
        <v>30.78</v>
      </c>
      <c r="H186">
        <v>28.89</v>
      </c>
      <c r="BJ186">
        <v>1</v>
      </c>
      <c r="BK186">
        <v>46</v>
      </c>
      <c r="BL186" t="s">
        <v>12</v>
      </c>
      <c r="BM186">
        <v>1</v>
      </c>
      <c r="BN186">
        <v>28.89</v>
      </c>
      <c r="BO186">
        <v>28.89</v>
      </c>
    </row>
    <row r="187" spans="1:67">
      <c r="A187">
        <v>21</v>
      </c>
      <c r="B187" t="s">
        <v>191</v>
      </c>
      <c r="C187">
        <v>48</v>
      </c>
      <c r="D187">
        <v>1</v>
      </c>
      <c r="E187">
        <v>45</v>
      </c>
      <c r="F187" t="s">
        <v>12</v>
      </c>
      <c r="G187">
        <v>32.479999999999997</v>
      </c>
      <c r="H187">
        <v>33.89</v>
      </c>
      <c r="BJ187">
        <v>1</v>
      </c>
      <c r="BK187">
        <v>45</v>
      </c>
      <c r="BL187" t="s">
        <v>12</v>
      </c>
      <c r="BM187">
        <v>1</v>
      </c>
      <c r="BN187">
        <v>33.89</v>
      </c>
      <c r="BO187">
        <v>33.89</v>
      </c>
    </row>
    <row r="188" spans="1:67">
      <c r="A188">
        <v>22</v>
      </c>
      <c r="B188" t="s">
        <v>192</v>
      </c>
      <c r="C188">
        <v>49</v>
      </c>
      <c r="D188">
        <v>1</v>
      </c>
      <c r="E188">
        <v>56</v>
      </c>
      <c r="F188" t="s">
        <v>12</v>
      </c>
      <c r="G188">
        <v>49.96</v>
      </c>
      <c r="H188">
        <v>36.15</v>
      </c>
      <c r="BJ188">
        <v>1</v>
      </c>
      <c r="BK188">
        <v>56</v>
      </c>
      <c r="BL188" t="s">
        <v>12</v>
      </c>
      <c r="BM188">
        <v>1</v>
      </c>
      <c r="BN188">
        <v>36.15</v>
      </c>
      <c r="BO188">
        <v>36.15</v>
      </c>
    </row>
    <row r="189" spans="1:67">
      <c r="A189">
        <v>23</v>
      </c>
      <c r="B189" t="s">
        <v>193</v>
      </c>
      <c r="C189">
        <v>50</v>
      </c>
      <c r="D189">
        <v>1</v>
      </c>
      <c r="E189">
        <v>39</v>
      </c>
      <c r="F189" t="s">
        <v>12</v>
      </c>
      <c r="G189">
        <v>38.65</v>
      </c>
      <c r="H189">
        <v>39.549999999999997</v>
      </c>
      <c r="BJ189">
        <v>1</v>
      </c>
      <c r="BK189">
        <v>39</v>
      </c>
      <c r="BL189" t="s">
        <v>12</v>
      </c>
      <c r="BM189">
        <v>1</v>
      </c>
      <c r="BN189">
        <v>39.549999999999997</v>
      </c>
      <c r="BO189">
        <v>39.549999999999997</v>
      </c>
    </row>
    <row r="190" spans="1:67">
      <c r="A190">
        <v>24</v>
      </c>
      <c r="B190" t="s">
        <v>194</v>
      </c>
      <c r="C190">
        <v>51</v>
      </c>
      <c r="D190">
        <v>1</v>
      </c>
      <c r="E190">
        <v>58</v>
      </c>
      <c r="F190" t="s">
        <v>12</v>
      </c>
      <c r="G190">
        <v>26.56</v>
      </c>
      <c r="H190">
        <v>25.81</v>
      </c>
      <c r="BJ190">
        <v>1</v>
      </c>
      <c r="BK190">
        <v>58</v>
      </c>
      <c r="BL190" t="s">
        <v>12</v>
      </c>
      <c r="BM190">
        <v>1</v>
      </c>
      <c r="BN190">
        <v>25.81</v>
      </c>
      <c r="BO190">
        <v>25.81</v>
      </c>
    </row>
    <row r="191" spans="1:67">
      <c r="A191">
        <v>25</v>
      </c>
      <c r="B191" t="s">
        <v>195</v>
      </c>
      <c r="C191">
        <v>52</v>
      </c>
      <c r="D191">
        <v>1</v>
      </c>
      <c r="E191">
        <v>27</v>
      </c>
      <c r="F191" t="s">
        <v>12</v>
      </c>
      <c r="G191">
        <v>20.55</v>
      </c>
      <c r="H191">
        <v>27.64</v>
      </c>
      <c r="BJ191">
        <v>1</v>
      </c>
      <c r="BK191">
        <v>27</v>
      </c>
      <c r="BL191" t="s">
        <v>12</v>
      </c>
      <c r="BM191">
        <v>1</v>
      </c>
      <c r="BN191">
        <v>27.64</v>
      </c>
      <c r="BO191">
        <v>27.64</v>
      </c>
    </row>
    <row r="192" spans="1:67">
      <c r="A192">
        <v>26</v>
      </c>
      <c r="B192" t="s">
        <v>196</v>
      </c>
      <c r="C192">
        <v>53</v>
      </c>
      <c r="D192">
        <v>1</v>
      </c>
      <c r="E192">
        <v>43</v>
      </c>
      <c r="F192" t="s">
        <v>12</v>
      </c>
      <c r="G192">
        <v>23.05</v>
      </c>
      <c r="H192">
        <v>29.49</v>
      </c>
      <c r="BJ192">
        <v>1</v>
      </c>
      <c r="BK192">
        <v>43</v>
      </c>
      <c r="BL192" t="s">
        <v>12</v>
      </c>
      <c r="BM192">
        <v>1</v>
      </c>
      <c r="BN192">
        <v>29.49</v>
      </c>
      <c r="BO192">
        <v>29.49</v>
      </c>
    </row>
    <row r="193" spans="1:67">
      <c r="A193">
        <v>27</v>
      </c>
      <c r="B193" t="s">
        <v>197</v>
      </c>
      <c r="C193">
        <v>54</v>
      </c>
      <c r="D193">
        <v>1</v>
      </c>
      <c r="E193">
        <v>57</v>
      </c>
      <c r="F193" t="s">
        <v>12</v>
      </c>
      <c r="G193">
        <v>31.49</v>
      </c>
      <c r="H193">
        <v>24.58</v>
      </c>
      <c r="BJ193">
        <v>1</v>
      </c>
      <c r="BK193">
        <v>57</v>
      </c>
      <c r="BL193" t="s">
        <v>12</v>
      </c>
      <c r="BM193">
        <v>1</v>
      </c>
      <c r="BN193">
        <v>24.58</v>
      </c>
      <c r="BO193">
        <v>24.58</v>
      </c>
    </row>
    <row r="194" spans="1:67">
      <c r="A194">
        <v>1</v>
      </c>
      <c r="B194" t="s">
        <v>198</v>
      </c>
      <c r="C194">
        <v>55</v>
      </c>
      <c r="D194">
        <v>2</v>
      </c>
      <c r="E194">
        <v>60</v>
      </c>
      <c r="F194" t="s">
        <v>13</v>
      </c>
      <c r="G194">
        <v>27.17</v>
      </c>
      <c r="H194">
        <v>26.5</v>
      </c>
      <c r="BJ194">
        <v>2</v>
      </c>
      <c r="BK194">
        <v>60</v>
      </c>
      <c r="BL194" t="s">
        <v>13</v>
      </c>
      <c r="BM194">
        <v>2</v>
      </c>
      <c r="BN194">
        <v>26.5</v>
      </c>
      <c r="BO194">
        <v>26.5</v>
      </c>
    </row>
    <row r="195" spans="1:67">
      <c r="A195">
        <v>2</v>
      </c>
      <c r="B195" t="s">
        <v>199</v>
      </c>
      <c r="C195">
        <v>56</v>
      </c>
      <c r="D195">
        <v>1</v>
      </c>
      <c r="E195">
        <v>68</v>
      </c>
      <c r="F195" t="s">
        <v>13</v>
      </c>
      <c r="G195">
        <v>27.29</v>
      </c>
      <c r="H195">
        <v>27.2</v>
      </c>
      <c r="BJ195">
        <v>1</v>
      </c>
      <c r="BK195">
        <v>68</v>
      </c>
      <c r="BL195" t="s">
        <v>13</v>
      </c>
      <c r="BM195">
        <v>1</v>
      </c>
      <c r="BN195">
        <v>27.2</v>
      </c>
      <c r="BO195">
        <v>27.2</v>
      </c>
    </row>
    <row r="196" spans="1:67">
      <c r="A196">
        <v>3</v>
      </c>
      <c r="B196" t="s">
        <v>200</v>
      </c>
      <c r="C196">
        <v>57</v>
      </c>
      <c r="D196">
        <v>1</v>
      </c>
      <c r="E196">
        <v>54</v>
      </c>
      <c r="F196" t="s">
        <v>13</v>
      </c>
      <c r="G196">
        <v>22.16</v>
      </c>
      <c r="H196">
        <v>24.89</v>
      </c>
      <c r="BJ196">
        <v>1</v>
      </c>
      <c r="BK196">
        <v>54</v>
      </c>
      <c r="BL196" t="s">
        <v>13</v>
      </c>
      <c r="BM196">
        <v>1</v>
      </c>
      <c r="BN196">
        <v>24.89</v>
      </c>
      <c r="BO196">
        <v>24.89</v>
      </c>
    </row>
    <row r="197" spans="1:67">
      <c r="A197">
        <v>4</v>
      </c>
      <c r="B197" t="s">
        <v>201</v>
      </c>
      <c r="C197">
        <v>58</v>
      </c>
      <c r="D197">
        <v>2</v>
      </c>
      <c r="E197">
        <v>25</v>
      </c>
      <c r="F197" t="s">
        <v>13</v>
      </c>
      <c r="G197">
        <v>19.149999999999999</v>
      </c>
      <c r="H197">
        <v>17.87</v>
      </c>
      <c r="BJ197">
        <v>2</v>
      </c>
      <c r="BK197">
        <v>25</v>
      </c>
      <c r="BL197" t="s">
        <v>13</v>
      </c>
      <c r="BM197">
        <v>2</v>
      </c>
      <c r="BN197">
        <v>17.87</v>
      </c>
      <c r="BO197">
        <v>17.87</v>
      </c>
    </row>
    <row r="198" spans="1:67">
      <c r="A198">
        <v>5</v>
      </c>
      <c r="B198" t="s">
        <v>202</v>
      </c>
      <c r="C198">
        <v>59</v>
      </c>
      <c r="D198">
        <v>2</v>
      </c>
      <c r="E198">
        <v>69</v>
      </c>
      <c r="F198" t="s">
        <v>13</v>
      </c>
      <c r="G198">
        <v>27.94</v>
      </c>
      <c r="H198">
        <v>9.82</v>
      </c>
      <c r="BJ198">
        <v>2</v>
      </c>
      <c r="BK198">
        <v>69</v>
      </c>
      <c r="BL198" t="s">
        <v>13</v>
      </c>
      <c r="BM198">
        <v>2</v>
      </c>
      <c r="BN198">
        <v>9.82</v>
      </c>
      <c r="BO198">
        <v>9.82</v>
      </c>
    </row>
    <row r="199" spans="1:67">
      <c r="A199">
        <v>6</v>
      </c>
      <c r="B199" t="s">
        <v>203</v>
      </c>
      <c r="C199">
        <v>60</v>
      </c>
      <c r="D199">
        <v>1</v>
      </c>
      <c r="E199">
        <v>22</v>
      </c>
      <c r="F199" t="s">
        <v>13</v>
      </c>
      <c r="G199">
        <v>26.18</v>
      </c>
      <c r="H199">
        <v>34.450000000000003</v>
      </c>
      <c r="BJ199">
        <v>1</v>
      </c>
      <c r="BK199">
        <v>22</v>
      </c>
      <c r="BL199" t="s">
        <v>13</v>
      </c>
      <c r="BM199">
        <v>1</v>
      </c>
      <c r="BN199">
        <v>34.450000000000003</v>
      </c>
      <c r="BO199">
        <v>34.450000000000003</v>
      </c>
    </row>
    <row r="200" spans="1:67">
      <c r="A200">
        <v>7</v>
      </c>
      <c r="B200" t="s">
        <v>203</v>
      </c>
      <c r="C200">
        <v>61</v>
      </c>
      <c r="D200">
        <v>1</v>
      </c>
      <c r="E200">
        <v>21</v>
      </c>
      <c r="F200" t="s">
        <v>13</v>
      </c>
      <c r="G200">
        <v>6.01</v>
      </c>
      <c r="H200">
        <v>4.2699999999999996</v>
      </c>
      <c r="BJ200">
        <v>1</v>
      </c>
      <c r="BK200">
        <v>21</v>
      </c>
      <c r="BL200" t="s">
        <v>13</v>
      </c>
      <c r="BM200">
        <v>1</v>
      </c>
      <c r="BN200">
        <v>4.2699999999999996</v>
      </c>
      <c r="BO200">
        <v>4.2699999999999996</v>
      </c>
    </row>
    <row r="201" spans="1:67">
      <c r="A201">
        <v>8</v>
      </c>
      <c r="B201" t="s">
        <v>204</v>
      </c>
      <c r="C201">
        <v>62</v>
      </c>
      <c r="D201">
        <v>1</v>
      </c>
      <c r="E201">
        <v>65</v>
      </c>
      <c r="F201" t="s">
        <v>13</v>
      </c>
      <c r="G201">
        <v>23.57</v>
      </c>
      <c r="H201">
        <v>16.78</v>
      </c>
      <c r="BJ201">
        <v>1</v>
      </c>
      <c r="BK201">
        <v>65</v>
      </c>
      <c r="BL201" t="s">
        <v>13</v>
      </c>
      <c r="BM201">
        <v>1</v>
      </c>
      <c r="BN201">
        <v>16.78</v>
      </c>
      <c r="BO201">
        <v>16.78</v>
      </c>
    </row>
    <row r="202" spans="1:67">
      <c r="A202">
        <v>9</v>
      </c>
      <c r="B202" t="s">
        <v>205</v>
      </c>
      <c r="C202">
        <v>63</v>
      </c>
      <c r="D202">
        <v>1</v>
      </c>
      <c r="E202">
        <v>18</v>
      </c>
      <c r="F202" t="s">
        <v>13</v>
      </c>
      <c r="G202">
        <v>24.22</v>
      </c>
      <c r="H202">
        <v>25.34</v>
      </c>
      <c r="BJ202">
        <v>1</v>
      </c>
      <c r="BK202">
        <v>18</v>
      </c>
      <c r="BL202" t="s">
        <v>13</v>
      </c>
      <c r="BM202">
        <v>1</v>
      </c>
      <c r="BN202">
        <v>25.34</v>
      </c>
      <c r="BO202">
        <v>25.34</v>
      </c>
    </row>
    <row r="203" spans="1:67">
      <c r="A203">
        <v>10</v>
      </c>
      <c r="B203" t="s">
        <v>206</v>
      </c>
      <c r="C203">
        <v>64</v>
      </c>
      <c r="D203">
        <v>1</v>
      </c>
      <c r="E203">
        <v>61</v>
      </c>
      <c r="F203" t="s">
        <v>13</v>
      </c>
      <c r="G203">
        <v>22.74</v>
      </c>
      <c r="H203">
        <v>26.96</v>
      </c>
      <c r="BJ203">
        <v>1</v>
      </c>
      <c r="BK203">
        <v>61</v>
      </c>
      <c r="BL203" t="s">
        <v>13</v>
      </c>
      <c r="BM203">
        <v>1</v>
      </c>
      <c r="BN203">
        <v>26.96</v>
      </c>
      <c r="BO203">
        <v>26.96</v>
      </c>
    </row>
    <row r="204" spans="1:67">
      <c r="A204">
        <v>11</v>
      </c>
      <c r="B204" t="s">
        <v>207</v>
      </c>
      <c r="C204">
        <v>65</v>
      </c>
      <c r="D204">
        <v>1</v>
      </c>
      <c r="E204">
        <v>67</v>
      </c>
      <c r="F204" t="s">
        <v>13</v>
      </c>
      <c r="G204">
        <v>26.96</v>
      </c>
      <c r="H204">
        <v>22.74</v>
      </c>
      <c r="BJ204">
        <v>1</v>
      </c>
      <c r="BK204">
        <v>67</v>
      </c>
      <c r="BL204" t="s">
        <v>13</v>
      </c>
      <c r="BM204">
        <v>1</v>
      </c>
      <c r="BN204">
        <v>22.74</v>
      </c>
      <c r="BO204">
        <v>22.74</v>
      </c>
    </row>
    <row r="205" spans="1:67">
      <c r="A205">
        <v>12</v>
      </c>
      <c r="B205" t="s">
        <v>208</v>
      </c>
      <c r="C205">
        <v>66</v>
      </c>
      <c r="D205">
        <v>1</v>
      </c>
      <c r="E205">
        <v>35</v>
      </c>
      <c r="F205" t="s">
        <v>13</v>
      </c>
      <c r="G205">
        <v>36.29</v>
      </c>
      <c r="H205">
        <v>28.43</v>
      </c>
      <c r="BJ205">
        <v>1</v>
      </c>
      <c r="BK205">
        <v>35</v>
      </c>
      <c r="BL205" t="s">
        <v>13</v>
      </c>
      <c r="BM205">
        <v>1</v>
      </c>
      <c r="BN205">
        <v>28.43</v>
      </c>
      <c r="BO205">
        <v>28.43</v>
      </c>
    </row>
    <row r="206" spans="1:67">
      <c r="A206">
        <v>13</v>
      </c>
      <c r="B206" t="s">
        <v>209</v>
      </c>
      <c r="C206">
        <v>67</v>
      </c>
      <c r="D206">
        <v>2</v>
      </c>
      <c r="E206">
        <v>20</v>
      </c>
      <c r="F206" t="s">
        <v>13</v>
      </c>
      <c r="G206">
        <v>28.43</v>
      </c>
      <c r="H206">
        <v>36.29</v>
      </c>
      <c r="BJ206">
        <v>2</v>
      </c>
      <c r="BK206">
        <v>20</v>
      </c>
      <c r="BL206" t="s">
        <v>13</v>
      </c>
      <c r="BM206">
        <v>2</v>
      </c>
      <c r="BN206">
        <v>36.29</v>
      </c>
      <c r="BO206">
        <v>36.29</v>
      </c>
    </row>
    <row r="207" spans="1:67">
      <c r="A207">
        <v>14</v>
      </c>
      <c r="B207" t="s">
        <v>210</v>
      </c>
      <c r="C207">
        <v>68</v>
      </c>
      <c r="D207">
        <v>1</v>
      </c>
      <c r="E207">
        <v>37</v>
      </c>
      <c r="F207" t="s">
        <v>13</v>
      </c>
      <c r="G207">
        <v>16.600000000000001</v>
      </c>
      <c r="H207">
        <v>22.83</v>
      </c>
      <c r="BJ207">
        <v>1</v>
      </c>
      <c r="BK207">
        <v>37</v>
      </c>
      <c r="BL207" t="s">
        <v>13</v>
      </c>
      <c r="BM207">
        <v>1</v>
      </c>
      <c r="BN207">
        <v>22.83</v>
      </c>
      <c r="BO207">
        <v>22.83</v>
      </c>
    </row>
    <row r="208" spans="1:67">
      <c r="A208">
        <v>15</v>
      </c>
      <c r="B208" t="s">
        <v>211</v>
      </c>
      <c r="C208">
        <v>69</v>
      </c>
      <c r="D208">
        <v>2</v>
      </c>
      <c r="E208">
        <v>38</v>
      </c>
      <c r="F208" t="s">
        <v>13</v>
      </c>
      <c r="G208">
        <v>3.23</v>
      </c>
      <c r="H208">
        <v>20.350000000000001</v>
      </c>
      <c r="BJ208">
        <v>2</v>
      </c>
      <c r="BK208">
        <v>38</v>
      </c>
      <c r="BL208" t="s">
        <v>13</v>
      </c>
      <c r="BM208">
        <v>2</v>
      </c>
      <c r="BN208">
        <v>20.350000000000001</v>
      </c>
      <c r="BO208">
        <v>20.350000000000001</v>
      </c>
    </row>
    <row r="209" spans="1:67">
      <c r="A209">
        <v>16</v>
      </c>
      <c r="B209" t="s">
        <v>212</v>
      </c>
      <c r="C209">
        <v>70</v>
      </c>
      <c r="D209">
        <v>1</v>
      </c>
      <c r="E209">
        <v>22</v>
      </c>
      <c r="F209" t="s">
        <v>13</v>
      </c>
      <c r="G209">
        <v>17.350000000000001</v>
      </c>
      <c r="H209">
        <v>15.67</v>
      </c>
      <c r="BJ209">
        <v>1</v>
      </c>
      <c r="BK209">
        <v>22</v>
      </c>
      <c r="BL209" t="s">
        <v>13</v>
      </c>
      <c r="BM209">
        <v>1</v>
      </c>
      <c r="BN209">
        <v>15.67</v>
      </c>
      <c r="BO209">
        <v>15.67</v>
      </c>
    </row>
    <row r="210" spans="1:67">
      <c r="A210">
        <v>17</v>
      </c>
      <c r="B210" t="s">
        <v>213</v>
      </c>
      <c r="C210">
        <v>71</v>
      </c>
      <c r="D210">
        <v>2</v>
      </c>
      <c r="E210">
        <v>50</v>
      </c>
      <c r="F210" t="s">
        <v>13</v>
      </c>
      <c r="G210">
        <v>3.5</v>
      </c>
      <c r="H210">
        <v>7.96</v>
      </c>
      <c r="BJ210">
        <v>2</v>
      </c>
      <c r="BK210">
        <v>50</v>
      </c>
      <c r="BL210" t="s">
        <v>13</v>
      </c>
      <c r="BM210">
        <v>2</v>
      </c>
      <c r="BN210">
        <v>7.96</v>
      </c>
      <c r="BO210">
        <v>7.96</v>
      </c>
    </row>
    <row r="211" spans="1:67">
      <c r="A211">
        <v>18</v>
      </c>
      <c r="B211" t="s">
        <v>214</v>
      </c>
      <c r="C211">
        <v>72</v>
      </c>
      <c r="D211">
        <v>1</v>
      </c>
      <c r="E211">
        <v>44</v>
      </c>
      <c r="F211" t="s">
        <v>13</v>
      </c>
      <c r="G211">
        <v>21.79</v>
      </c>
      <c r="H211">
        <v>22.96</v>
      </c>
      <c r="BJ211">
        <v>1</v>
      </c>
      <c r="BK211">
        <v>44</v>
      </c>
      <c r="BL211" t="s">
        <v>13</v>
      </c>
      <c r="BM211">
        <v>1</v>
      </c>
      <c r="BN211">
        <v>22.96</v>
      </c>
      <c r="BO211">
        <v>22.96</v>
      </c>
    </row>
    <row r="212" spans="1:67">
      <c r="A212">
        <v>19</v>
      </c>
      <c r="B212" t="s">
        <v>215</v>
      </c>
      <c r="C212">
        <v>73</v>
      </c>
      <c r="D212">
        <v>2</v>
      </c>
      <c r="E212">
        <v>59</v>
      </c>
      <c r="F212" t="s">
        <v>13</v>
      </c>
      <c r="G212">
        <v>27.89</v>
      </c>
      <c r="H212">
        <v>27.89</v>
      </c>
      <c r="BJ212">
        <v>2</v>
      </c>
      <c r="BK212">
        <v>59</v>
      </c>
      <c r="BL212" t="s">
        <v>13</v>
      </c>
      <c r="BM212">
        <v>2</v>
      </c>
      <c r="BN212">
        <v>27.89</v>
      </c>
      <c r="BO212">
        <v>27.89</v>
      </c>
    </row>
    <row r="213" spans="1:67">
      <c r="A213">
        <v>20</v>
      </c>
      <c r="B213" t="s">
        <v>216</v>
      </c>
      <c r="C213">
        <v>74</v>
      </c>
      <c r="D213">
        <v>2</v>
      </c>
      <c r="E213">
        <v>22</v>
      </c>
      <c r="F213" t="s">
        <v>13</v>
      </c>
      <c r="G213">
        <v>2.29</v>
      </c>
      <c r="H213">
        <v>16.25</v>
      </c>
      <c r="BJ213">
        <v>2</v>
      </c>
      <c r="BK213">
        <v>22</v>
      </c>
      <c r="BL213" t="s">
        <v>13</v>
      </c>
      <c r="BM213">
        <v>2</v>
      </c>
      <c r="BN213">
        <v>16.25</v>
      </c>
      <c r="BO213">
        <v>16.25</v>
      </c>
    </row>
    <row r="214" spans="1:67">
      <c r="A214">
        <v>21</v>
      </c>
      <c r="B214" t="s">
        <v>217</v>
      </c>
      <c r="C214">
        <v>75</v>
      </c>
      <c r="D214">
        <v>2</v>
      </c>
      <c r="E214">
        <v>33</v>
      </c>
      <c r="F214" t="s">
        <v>13</v>
      </c>
      <c r="G214">
        <v>29.05</v>
      </c>
      <c r="H214">
        <v>26.19</v>
      </c>
      <c r="BJ214">
        <v>2</v>
      </c>
      <c r="BK214">
        <v>33</v>
      </c>
      <c r="BL214" t="s">
        <v>13</v>
      </c>
      <c r="BM214">
        <v>2</v>
      </c>
      <c r="BN214">
        <v>26.19</v>
      </c>
      <c r="BO214">
        <v>26.19</v>
      </c>
    </row>
    <row r="215" spans="1:67">
      <c r="A215">
        <v>22</v>
      </c>
      <c r="B215" t="s">
        <v>218</v>
      </c>
      <c r="C215">
        <v>76</v>
      </c>
      <c r="D215">
        <v>1</v>
      </c>
      <c r="E215">
        <v>45</v>
      </c>
      <c r="F215" t="s">
        <v>13</v>
      </c>
      <c r="G215">
        <v>31.71</v>
      </c>
      <c r="H215">
        <v>40.17</v>
      </c>
      <c r="BJ215">
        <v>1</v>
      </c>
      <c r="BK215">
        <v>45</v>
      </c>
      <c r="BL215" t="s">
        <v>13</v>
      </c>
      <c r="BM215">
        <v>1</v>
      </c>
      <c r="BN215">
        <v>40.17</v>
      </c>
      <c r="BO215">
        <v>40.17</v>
      </c>
    </row>
    <row r="216" spans="1:67">
      <c r="A216">
        <v>23</v>
      </c>
      <c r="B216" t="s">
        <v>219</v>
      </c>
      <c r="C216">
        <v>77</v>
      </c>
      <c r="D216">
        <v>1</v>
      </c>
      <c r="E216">
        <v>70</v>
      </c>
      <c r="F216" t="s">
        <v>13</v>
      </c>
      <c r="G216">
        <v>20.43</v>
      </c>
      <c r="H216">
        <v>26.55</v>
      </c>
      <c r="BJ216">
        <v>1</v>
      </c>
      <c r="BK216">
        <v>70</v>
      </c>
      <c r="BL216" t="s">
        <v>13</v>
      </c>
      <c r="BM216">
        <v>1</v>
      </c>
      <c r="BN216">
        <v>26.55</v>
      </c>
      <c r="BO216">
        <v>26.55</v>
      </c>
    </row>
    <row r="217" spans="1:67">
      <c r="A217">
        <v>24</v>
      </c>
      <c r="B217" t="s">
        <v>220</v>
      </c>
      <c r="C217">
        <v>78</v>
      </c>
      <c r="D217">
        <v>1</v>
      </c>
      <c r="E217">
        <v>47</v>
      </c>
      <c r="F217" t="s">
        <v>13</v>
      </c>
      <c r="G217">
        <v>21.31</v>
      </c>
      <c r="H217">
        <v>23.54</v>
      </c>
      <c r="BJ217">
        <v>1</v>
      </c>
      <c r="BK217">
        <v>47</v>
      </c>
      <c r="BL217" t="s">
        <v>13</v>
      </c>
      <c r="BM217">
        <v>1</v>
      </c>
      <c r="BN217">
        <v>23.54</v>
      </c>
      <c r="BO217">
        <v>23.54</v>
      </c>
    </row>
    <row r="218" spans="1:67">
      <c r="A218">
        <v>25</v>
      </c>
      <c r="B218" t="s">
        <v>221</v>
      </c>
      <c r="C218">
        <v>79</v>
      </c>
      <c r="D218">
        <v>2</v>
      </c>
      <c r="E218">
        <v>24</v>
      </c>
      <c r="F218" t="s">
        <v>13</v>
      </c>
      <c r="G218">
        <v>20.55</v>
      </c>
      <c r="H218">
        <v>23.19</v>
      </c>
      <c r="BJ218">
        <v>2</v>
      </c>
      <c r="BK218">
        <v>24</v>
      </c>
      <c r="BL218" t="s">
        <v>13</v>
      </c>
      <c r="BM218">
        <v>2</v>
      </c>
      <c r="BN218">
        <v>23.19</v>
      </c>
      <c r="BO218">
        <v>23.19</v>
      </c>
    </row>
    <row r="219" spans="1:67">
      <c r="A219">
        <v>26</v>
      </c>
      <c r="B219" t="s">
        <v>222</v>
      </c>
      <c r="C219">
        <v>80</v>
      </c>
      <c r="D219">
        <v>1</v>
      </c>
      <c r="E219">
        <v>63</v>
      </c>
      <c r="F219" t="s">
        <v>13</v>
      </c>
      <c r="G219">
        <v>23.85</v>
      </c>
      <c r="H219">
        <v>28.43</v>
      </c>
      <c r="BJ219">
        <v>1</v>
      </c>
      <c r="BK219">
        <v>63</v>
      </c>
      <c r="BL219" t="s">
        <v>13</v>
      </c>
      <c r="BM219">
        <v>1</v>
      </c>
      <c r="BN219">
        <v>28.43</v>
      </c>
      <c r="BO219">
        <v>28.43</v>
      </c>
    </row>
    <row r="220" spans="1:67">
      <c r="A220">
        <v>27</v>
      </c>
      <c r="B220" t="s">
        <v>223</v>
      </c>
      <c r="C220">
        <v>81</v>
      </c>
      <c r="D220">
        <v>1</v>
      </c>
      <c r="E220">
        <v>69</v>
      </c>
      <c r="F220" t="s">
        <v>13</v>
      </c>
      <c r="G220">
        <v>27.59</v>
      </c>
      <c r="H220">
        <v>30.61</v>
      </c>
      <c r="BJ220">
        <v>1</v>
      </c>
      <c r="BK220">
        <v>69</v>
      </c>
      <c r="BL220" t="s">
        <v>13</v>
      </c>
      <c r="BM220">
        <v>1</v>
      </c>
      <c r="BN220">
        <v>30.61</v>
      </c>
      <c r="BO220">
        <v>30.61</v>
      </c>
    </row>
    <row r="221" spans="1:67">
      <c r="A221">
        <v>1</v>
      </c>
      <c r="B221" t="s">
        <v>224</v>
      </c>
      <c r="C221">
        <v>82</v>
      </c>
      <c r="D221">
        <v>1</v>
      </c>
      <c r="E221">
        <v>59</v>
      </c>
      <c r="F221" t="s">
        <v>14</v>
      </c>
      <c r="G221">
        <v>16.07</v>
      </c>
      <c r="H221">
        <v>16.5</v>
      </c>
      <c r="BJ221">
        <v>1</v>
      </c>
      <c r="BK221">
        <v>59</v>
      </c>
      <c r="BL221" t="s">
        <v>14</v>
      </c>
      <c r="BM221">
        <v>1</v>
      </c>
      <c r="BN221">
        <v>16.5</v>
      </c>
      <c r="BO221">
        <v>16.5</v>
      </c>
    </row>
    <row r="222" spans="1:67">
      <c r="A222">
        <v>2</v>
      </c>
      <c r="B222" t="s">
        <v>225</v>
      </c>
      <c r="C222">
        <v>83</v>
      </c>
      <c r="D222">
        <v>1</v>
      </c>
      <c r="E222">
        <v>51</v>
      </c>
      <c r="F222" t="s">
        <v>14</v>
      </c>
      <c r="G222">
        <v>39.340000000000003</v>
      </c>
      <c r="H222">
        <v>31.42</v>
      </c>
      <c r="BJ222">
        <v>1</v>
      </c>
      <c r="BK222">
        <v>51</v>
      </c>
      <c r="BL222" t="s">
        <v>14</v>
      </c>
      <c r="BM222">
        <v>1</v>
      </c>
      <c r="BN222">
        <v>31.42</v>
      </c>
      <c r="BO222">
        <v>31.42</v>
      </c>
    </row>
    <row r="223" spans="1:67">
      <c r="A223">
        <v>3</v>
      </c>
      <c r="B223" t="s">
        <v>226</v>
      </c>
      <c r="C223">
        <v>84</v>
      </c>
      <c r="D223">
        <v>2</v>
      </c>
      <c r="E223">
        <v>32</v>
      </c>
      <c r="F223" t="s">
        <v>14</v>
      </c>
      <c r="G223">
        <v>16.600000000000001</v>
      </c>
      <c r="H223">
        <v>13.53</v>
      </c>
      <c r="BJ223">
        <v>2</v>
      </c>
      <c r="BK223">
        <v>32</v>
      </c>
      <c r="BL223" t="s">
        <v>14</v>
      </c>
      <c r="BM223">
        <v>2</v>
      </c>
      <c r="BN223">
        <v>13.53</v>
      </c>
      <c r="BO223">
        <v>13.53</v>
      </c>
    </row>
    <row r="224" spans="1:67">
      <c r="A224">
        <v>4</v>
      </c>
      <c r="B224" t="s">
        <v>227</v>
      </c>
      <c r="C224">
        <v>85</v>
      </c>
      <c r="D224">
        <v>1</v>
      </c>
      <c r="E224">
        <v>23</v>
      </c>
      <c r="F224" t="s">
        <v>14</v>
      </c>
      <c r="G224">
        <v>16.04</v>
      </c>
      <c r="H224">
        <v>16.62</v>
      </c>
      <c r="BJ224">
        <v>1</v>
      </c>
      <c r="BK224">
        <v>23</v>
      </c>
      <c r="BL224" t="s">
        <v>14</v>
      </c>
      <c r="BM224">
        <v>1</v>
      </c>
      <c r="BN224">
        <v>16.62</v>
      </c>
      <c r="BO224">
        <v>16.62</v>
      </c>
    </row>
    <row r="225" spans="1:67">
      <c r="A225">
        <v>5</v>
      </c>
      <c r="B225" t="s">
        <v>228</v>
      </c>
      <c r="C225">
        <v>86</v>
      </c>
      <c r="D225">
        <v>1</v>
      </c>
      <c r="E225">
        <v>40</v>
      </c>
      <c r="F225" t="s">
        <v>14</v>
      </c>
      <c r="G225">
        <v>26.16</v>
      </c>
      <c r="H225">
        <v>24.05</v>
      </c>
      <c r="BJ225">
        <v>1</v>
      </c>
      <c r="BK225">
        <v>40</v>
      </c>
      <c r="BL225" t="s">
        <v>14</v>
      </c>
      <c r="BM225">
        <v>1</v>
      </c>
      <c r="BN225">
        <v>24.05</v>
      </c>
      <c r="BO225">
        <v>24.05</v>
      </c>
    </row>
    <row r="226" spans="1:67">
      <c r="A226">
        <v>6</v>
      </c>
      <c r="B226" t="s">
        <v>229</v>
      </c>
      <c r="C226">
        <v>87</v>
      </c>
      <c r="D226">
        <v>2</v>
      </c>
      <c r="E226">
        <v>33</v>
      </c>
      <c r="F226" t="s">
        <v>14</v>
      </c>
      <c r="G226">
        <v>7.9</v>
      </c>
      <c r="H226">
        <v>23.02</v>
      </c>
      <c r="BJ226">
        <v>2</v>
      </c>
      <c r="BK226">
        <v>33</v>
      </c>
      <c r="BL226" t="s">
        <v>14</v>
      </c>
      <c r="BM226">
        <v>2</v>
      </c>
      <c r="BN226">
        <v>23.02</v>
      </c>
      <c r="BO226">
        <v>23.02</v>
      </c>
    </row>
    <row r="227" spans="1:67">
      <c r="A227">
        <v>7</v>
      </c>
      <c r="B227" t="s">
        <v>230</v>
      </c>
      <c r="C227">
        <v>88</v>
      </c>
      <c r="D227">
        <v>1</v>
      </c>
      <c r="E227">
        <v>56</v>
      </c>
      <c r="F227" t="s">
        <v>14</v>
      </c>
      <c r="G227">
        <v>22.37</v>
      </c>
      <c r="H227">
        <v>19.329999999999998</v>
      </c>
      <c r="BJ227">
        <v>1</v>
      </c>
      <c r="BK227">
        <v>56</v>
      </c>
      <c r="BL227" t="s">
        <v>14</v>
      </c>
      <c r="BM227">
        <v>1</v>
      </c>
      <c r="BN227">
        <v>19.329999999999998</v>
      </c>
      <c r="BO227">
        <v>19.329999999999998</v>
      </c>
    </row>
    <row r="228" spans="1:67">
      <c r="A228">
        <v>8</v>
      </c>
      <c r="B228" t="s">
        <v>231</v>
      </c>
      <c r="C228">
        <v>89</v>
      </c>
      <c r="D228">
        <v>2</v>
      </c>
      <c r="E228">
        <v>28</v>
      </c>
      <c r="F228" t="s">
        <v>14</v>
      </c>
      <c r="G228">
        <v>34.28</v>
      </c>
      <c r="H228">
        <v>33.1</v>
      </c>
      <c r="BJ228">
        <v>2</v>
      </c>
      <c r="BK228">
        <v>28</v>
      </c>
      <c r="BL228" t="s">
        <v>14</v>
      </c>
      <c r="BM228">
        <v>2</v>
      </c>
      <c r="BN228">
        <v>33.1</v>
      </c>
      <c r="BO228">
        <v>33.1</v>
      </c>
    </row>
    <row r="229" spans="1:67">
      <c r="A229">
        <v>9</v>
      </c>
      <c r="B229" t="s">
        <v>232</v>
      </c>
      <c r="C229">
        <v>90</v>
      </c>
      <c r="D229">
        <v>2</v>
      </c>
      <c r="E229">
        <v>43</v>
      </c>
      <c r="F229" t="s">
        <v>14</v>
      </c>
      <c r="G229">
        <v>30.33</v>
      </c>
      <c r="H229">
        <v>28.92</v>
      </c>
      <c r="BJ229">
        <v>2</v>
      </c>
      <c r="BK229">
        <v>43</v>
      </c>
      <c r="BL229" t="s">
        <v>14</v>
      </c>
      <c r="BM229">
        <v>2</v>
      </c>
      <c r="BN229">
        <v>28.92</v>
      </c>
      <c r="BO229">
        <v>28.92</v>
      </c>
    </row>
    <row r="230" spans="1:67">
      <c r="A230">
        <v>10</v>
      </c>
      <c r="B230" t="s">
        <v>233</v>
      </c>
      <c r="C230">
        <v>91</v>
      </c>
      <c r="D230">
        <v>2</v>
      </c>
      <c r="E230">
        <v>60</v>
      </c>
      <c r="F230" t="s">
        <v>14</v>
      </c>
      <c r="G230">
        <v>17.41</v>
      </c>
      <c r="H230">
        <v>23.55</v>
      </c>
      <c r="BJ230">
        <v>2</v>
      </c>
      <c r="BK230">
        <v>60</v>
      </c>
      <c r="BL230" t="s">
        <v>14</v>
      </c>
      <c r="BM230">
        <v>2</v>
      </c>
      <c r="BN230">
        <v>23.55</v>
      </c>
      <c r="BO230">
        <v>23.55</v>
      </c>
    </row>
    <row r="231" spans="1:67">
      <c r="A231">
        <v>11</v>
      </c>
      <c r="B231" t="s">
        <v>234</v>
      </c>
      <c r="C231">
        <v>92</v>
      </c>
      <c r="D231">
        <v>1</v>
      </c>
      <c r="E231">
        <v>65</v>
      </c>
      <c r="F231" t="s">
        <v>14</v>
      </c>
      <c r="G231">
        <v>3.76</v>
      </c>
      <c r="H231">
        <v>10.3</v>
      </c>
      <c r="BJ231">
        <v>1</v>
      </c>
      <c r="BK231">
        <v>65</v>
      </c>
      <c r="BL231" t="s">
        <v>14</v>
      </c>
      <c r="BM231">
        <v>1</v>
      </c>
      <c r="BN231">
        <v>10.3</v>
      </c>
      <c r="BO231">
        <v>10.3</v>
      </c>
    </row>
    <row r="232" spans="1:67">
      <c r="A232">
        <v>12</v>
      </c>
      <c r="B232" t="s">
        <v>235</v>
      </c>
      <c r="C232">
        <v>93</v>
      </c>
      <c r="D232">
        <v>2</v>
      </c>
      <c r="E232">
        <v>57</v>
      </c>
      <c r="F232" t="s">
        <v>14</v>
      </c>
      <c r="G232">
        <v>19.98</v>
      </c>
      <c r="H232">
        <v>25.07</v>
      </c>
      <c r="BJ232">
        <v>2</v>
      </c>
      <c r="BK232">
        <v>57</v>
      </c>
      <c r="BL232" t="s">
        <v>14</v>
      </c>
      <c r="BM232">
        <v>2</v>
      </c>
      <c r="BN232">
        <v>25.07</v>
      </c>
      <c r="BO232">
        <v>25.07</v>
      </c>
    </row>
    <row r="233" spans="1:67">
      <c r="A233">
        <v>13</v>
      </c>
      <c r="B233" t="s">
        <v>236</v>
      </c>
      <c r="C233">
        <v>94</v>
      </c>
      <c r="D233">
        <v>2</v>
      </c>
      <c r="E233">
        <v>61</v>
      </c>
      <c r="F233" t="s">
        <v>14</v>
      </c>
      <c r="G233">
        <v>2.56</v>
      </c>
      <c r="H233">
        <v>8.67</v>
      </c>
      <c r="BJ233">
        <v>2</v>
      </c>
      <c r="BK233">
        <v>61</v>
      </c>
      <c r="BL233" t="s">
        <v>14</v>
      </c>
      <c r="BM233">
        <v>2</v>
      </c>
      <c r="BN233">
        <v>8.67</v>
      </c>
      <c r="BO233">
        <v>8.67</v>
      </c>
    </row>
    <row r="234" spans="1:67">
      <c r="A234">
        <v>14</v>
      </c>
      <c r="B234" t="s">
        <v>237</v>
      </c>
      <c r="C234">
        <v>95</v>
      </c>
      <c r="D234">
        <v>2</v>
      </c>
      <c r="E234">
        <v>39</v>
      </c>
      <c r="F234" t="s">
        <v>14</v>
      </c>
      <c r="G234">
        <v>4.01</v>
      </c>
      <c r="H234">
        <v>19.98</v>
      </c>
      <c r="BJ234">
        <v>2</v>
      </c>
      <c r="BK234">
        <v>39</v>
      </c>
      <c r="BL234" t="s">
        <v>14</v>
      </c>
      <c r="BM234">
        <v>2</v>
      </c>
      <c r="BN234">
        <v>19.98</v>
      </c>
      <c r="BO234">
        <v>19.98</v>
      </c>
    </row>
    <row r="235" spans="1:67">
      <c r="A235">
        <v>15</v>
      </c>
      <c r="B235" t="s">
        <v>238</v>
      </c>
      <c r="C235">
        <v>96</v>
      </c>
      <c r="D235">
        <v>1</v>
      </c>
      <c r="E235">
        <v>57</v>
      </c>
      <c r="F235" t="s">
        <v>14</v>
      </c>
      <c r="G235">
        <v>12.84</v>
      </c>
      <c r="H235">
        <v>15.68</v>
      </c>
      <c r="BJ235">
        <v>1</v>
      </c>
      <c r="BK235">
        <v>57</v>
      </c>
      <c r="BL235" t="s">
        <v>14</v>
      </c>
      <c r="BM235">
        <v>1</v>
      </c>
      <c r="BN235">
        <v>15.68</v>
      </c>
      <c r="BO235">
        <v>15.68</v>
      </c>
    </row>
    <row r="236" spans="1:67">
      <c r="A236">
        <v>16</v>
      </c>
      <c r="B236" t="s">
        <v>239</v>
      </c>
      <c r="C236">
        <v>97</v>
      </c>
      <c r="D236">
        <v>2</v>
      </c>
      <c r="E236">
        <v>68</v>
      </c>
      <c r="F236" t="s">
        <v>14</v>
      </c>
      <c r="G236">
        <v>6.84</v>
      </c>
      <c r="H236">
        <v>4.4800000000000004</v>
      </c>
      <c r="BJ236">
        <v>2</v>
      </c>
      <c r="BK236">
        <v>68</v>
      </c>
      <c r="BL236" t="s">
        <v>14</v>
      </c>
      <c r="BM236">
        <v>2</v>
      </c>
      <c r="BN236">
        <v>4.4800000000000004</v>
      </c>
      <c r="BO236">
        <v>4.4800000000000004</v>
      </c>
    </row>
    <row r="237" spans="1:67">
      <c r="A237">
        <v>17</v>
      </c>
      <c r="B237" t="s">
        <v>240</v>
      </c>
      <c r="C237">
        <v>98</v>
      </c>
      <c r="D237">
        <v>1</v>
      </c>
      <c r="E237">
        <v>48</v>
      </c>
      <c r="F237" t="s">
        <v>14</v>
      </c>
      <c r="G237">
        <v>33.409999999999997</v>
      </c>
      <c r="H237">
        <v>33.17</v>
      </c>
      <c r="BJ237">
        <v>1</v>
      </c>
      <c r="BK237">
        <v>48</v>
      </c>
      <c r="BL237" t="s">
        <v>14</v>
      </c>
      <c r="BM237">
        <v>1</v>
      </c>
      <c r="BN237">
        <v>33.17</v>
      </c>
      <c r="BO237">
        <v>33.17</v>
      </c>
    </row>
    <row r="238" spans="1:67">
      <c r="A238">
        <v>18</v>
      </c>
      <c r="B238" t="s">
        <v>241</v>
      </c>
      <c r="C238">
        <v>99</v>
      </c>
      <c r="D238">
        <v>2</v>
      </c>
      <c r="E238">
        <v>63</v>
      </c>
      <c r="F238" t="s">
        <v>14</v>
      </c>
      <c r="G238">
        <v>13.62</v>
      </c>
      <c r="H238">
        <v>27.64</v>
      </c>
      <c r="BJ238">
        <v>2</v>
      </c>
      <c r="BK238">
        <v>63</v>
      </c>
      <c r="BL238" t="s">
        <v>14</v>
      </c>
      <c r="BM238">
        <v>2</v>
      </c>
      <c r="BN238">
        <v>27.64</v>
      </c>
      <c r="BO238">
        <v>27.64</v>
      </c>
    </row>
    <row r="239" spans="1:67">
      <c r="A239">
        <v>19</v>
      </c>
      <c r="B239" t="s">
        <v>242</v>
      </c>
      <c r="C239">
        <v>100</v>
      </c>
      <c r="D239">
        <v>1</v>
      </c>
      <c r="E239">
        <v>40</v>
      </c>
      <c r="F239" t="s">
        <v>14</v>
      </c>
      <c r="G239">
        <v>18.690000000000001</v>
      </c>
      <c r="H239">
        <v>15.7</v>
      </c>
      <c r="BJ239">
        <v>1</v>
      </c>
      <c r="BK239">
        <v>40</v>
      </c>
      <c r="BL239" t="s">
        <v>14</v>
      </c>
      <c r="BM239">
        <v>1</v>
      </c>
      <c r="BN239">
        <v>15.7</v>
      </c>
      <c r="BO239">
        <v>15.7</v>
      </c>
    </row>
    <row r="240" spans="1:67">
      <c r="A240">
        <v>20</v>
      </c>
      <c r="B240" t="s">
        <v>243</v>
      </c>
      <c r="C240">
        <v>101</v>
      </c>
      <c r="D240">
        <v>1</v>
      </c>
      <c r="E240">
        <v>67</v>
      </c>
      <c r="F240" t="s">
        <v>14</v>
      </c>
      <c r="G240">
        <v>2.5299999999999998</v>
      </c>
      <c r="H240">
        <v>11.46</v>
      </c>
      <c r="BJ240">
        <v>1</v>
      </c>
      <c r="BK240">
        <v>67</v>
      </c>
      <c r="BL240" t="s">
        <v>14</v>
      </c>
      <c r="BM240">
        <v>1</v>
      </c>
      <c r="BN240">
        <v>11.46</v>
      </c>
      <c r="BO240">
        <v>11.46</v>
      </c>
    </row>
    <row r="241" spans="1:67">
      <c r="A241">
        <v>21</v>
      </c>
      <c r="B241" t="s">
        <v>244</v>
      </c>
      <c r="C241">
        <v>102</v>
      </c>
      <c r="D241">
        <v>2</v>
      </c>
      <c r="E241">
        <v>61</v>
      </c>
      <c r="F241" t="s">
        <v>14</v>
      </c>
      <c r="G241">
        <v>9.06</v>
      </c>
      <c r="H241">
        <v>16.61</v>
      </c>
      <c r="BJ241">
        <v>2</v>
      </c>
      <c r="BK241">
        <v>61</v>
      </c>
      <c r="BL241" t="s">
        <v>14</v>
      </c>
      <c r="BM241">
        <v>2</v>
      </c>
      <c r="BN241">
        <v>16.61</v>
      </c>
      <c r="BO241">
        <v>16.61</v>
      </c>
    </row>
    <row r="242" spans="1:67">
      <c r="A242">
        <v>22</v>
      </c>
      <c r="B242" t="s">
        <v>245</v>
      </c>
      <c r="C242">
        <v>103</v>
      </c>
      <c r="D242">
        <v>2</v>
      </c>
      <c r="E242">
        <v>47</v>
      </c>
      <c r="F242" t="s">
        <v>14</v>
      </c>
      <c r="G242">
        <v>11.72</v>
      </c>
      <c r="H242">
        <v>22.13</v>
      </c>
      <c r="BJ242">
        <v>2</v>
      </c>
      <c r="BK242">
        <v>47</v>
      </c>
      <c r="BL242" t="s">
        <v>14</v>
      </c>
      <c r="BM242">
        <v>2</v>
      </c>
      <c r="BN242">
        <v>22.13</v>
      </c>
      <c r="BO242">
        <v>22.13</v>
      </c>
    </row>
    <row r="243" spans="1:67">
      <c r="A243">
        <v>23</v>
      </c>
      <c r="B243" t="s">
        <v>246</v>
      </c>
      <c r="C243">
        <v>104</v>
      </c>
      <c r="D243">
        <v>1</v>
      </c>
      <c r="E243">
        <v>21</v>
      </c>
      <c r="F243" t="s">
        <v>14</v>
      </c>
      <c r="G243">
        <v>23.52</v>
      </c>
      <c r="H243">
        <v>23.95</v>
      </c>
      <c r="BJ243">
        <v>1</v>
      </c>
      <c r="BK243">
        <v>21</v>
      </c>
      <c r="BL243" t="s">
        <v>14</v>
      </c>
      <c r="BM243">
        <v>1</v>
      </c>
      <c r="BN243">
        <v>23.95</v>
      </c>
      <c r="BO243">
        <v>23.95</v>
      </c>
    </row>
    <row r="244" spans="1:67">
      <c r="A244">
        <v>24</v>
      </c>
      <c r="B244" t="s">
        <v>247</v>
      </c>
      <c r="C244">
        <v>105</v>
      </c>
      <c r="D244">
        <v>1</v>
      </c>
      <c r="E244">
        <v>24</v>
      </c>
      <c r="F244" t="s">
        <v>14</v>
      </c>
      <c r="G244">
        <v>12.92</v>
      </c>
      <c r="H244">
        <v>19.28</v>
      </c>
      <c r="BJ244">
        <v>1</v>
      </c>
      <c r="BK244">
        <v>24</v>
      </c>
      <c r="BL244" t="s">
        <v>14</v>
      </c>
      <c r="BM244">
        <v>1</v>
      </c>
      <c r="BN244">
        <v>19.28</v>
      </c>
      <c r="BO244">
        <v>19.28</v>
      </c>
    </row>
    <row r="245" spans="1:67">
      <c r="A245">
        <v>25</v>
      </c>
      <c r="B245" t="s">
        <v>248</v>
      </c>
      <c r="C245">
        <v>106</v>
      </c>
      <c r="D245">
        <v>1</v>
      </c>
      <c r="E245">
        <v>34</v>
      </c>
      <c r="F245" t="s">
        <v>14</v>
      </c>
      <c r="G245">
        <v>26.97</v>
      </c>
      <c r="H245">
        <v>27.47</v>
      </c>
      <c r="BJ245">
        <v>1</v>
      </c>
      <c r="BK245">
        <v>34</v>
      </c>
      <c r="BL245" t="s">
        <v>14</v>
      </c>
      <c r="BM245">
        <v>1</v>
      </c>
      <c r="BN245">
        <v>27.47</v>
      </c>
      <c r="BO245">
        <v>27.47</v>
      </c>
    </row>
    <row r="246" spans="1:67">
      <c r="A246">
        <v>26</v>
      </c>
      <c r="B246" t="s">
        <v>249</v>
      </c>
      <c r="C246">
        <v>107</v>
      </c>
      <c r="D246">
        <v>1</v>
      </c>
      <c r="E246">
        <v>43</v>
      </c>
      <c r="F246" t="s">
        <v>14</v>
      </c>
      <c r="G246">
        <v>20.85</v>
      </c>
      <c r="H246">
        <v>11.31</v>
      </c>
      <c r="BJ246">
        <v>1</v>
      </c>
      <c r="BK246">
        <v>43</v>
      </c>
      <c r="BL246" t="s">
        <v>14</v>
      </c>
      <c r="BM246">
        <v>1</v>
      </c>
      <c r="BN246">
        <v>11.31</v>
      </c>
      <c r="BO246">
        <v>11.31</v>
      </c>
    </row>
    <row r="247" spans="1:67">
      <c r="A247">
        <v>27</v>
      </c>
      <c r="B247" t="s">
        <v>250</v>
      </c>
      <c r="C247">
        <v>108</v>
      </c>
      <c r="D247">
        <v>2</v>
      </c>
      <c r="E247">
        <v>21</v>
      </c>
      <c r="F247" t="s">
        <v>14</v>
      </c>
      <c r="G247">
        <v>18.43</v>
      </c>
      <c r="H247">
        <v>8.26</v>
      </c>
      <c r="BJ247">
        <v>2</v>
      </c>
      <c r="BK247">
        <v>21</v>
      </c>
      <c r="BL247" t="s">
        <v>14</v>
      </c>
      <c r="BM247">
        <v>2</v>
      </c>
      <c r="BN247">
        <v>8.26</v>
      </c>
      <c r="BO247">
        <v>8.26</v>
      </c>
    </row>
    <row r="248" spans="1:67">
      <c r="A248">
        <v>1</v>
      </c>
      <c r="B248" t="s">
        <v>251</v>
      </c>
      <c r="C248">
        <v>109</v>
      </c>
      <c r="D248">
        <v>1</v>
      </c>
      <c r="E248">
        <v>69</v>
      </c>
      <c r="F248" t="s">
        <v>15</v>
      </c>
      <c r="G248">
        <v>16.559999999999999</v>
      </c>
      <c r="H248">
        <v>16.600000000000001</v>
      </c>
      <c r="BJ248">
        <v>1</v>
      </c>
      <c r="BK248">
        <v>69</v>
      </c>
      <c r="BL248" t="s">
        <v>15</v>
      </c>
      <c r="BM248">
        <v>1</v>
      </c>
      <c r="BN248">
        <v>16.600000000000001</v>
      </c>
      <c r="BO248">
        <v>16.600000000000001</v>
      </c>
    </row>
    <row r="249" spans="1:67">
      <c r="A249">
        <v>2</v>
      </c>
      <c r="B249" t="s">
        <v>252</v>
      </c>
      <c r="C249">
        <v>110</v>
      </c>
      <c r="D249">
        <v>1</v>
      </c>
      <c r="E249">
        <v>33</v>
      </c>
      <c r="F249" t="s">
        <v>15</v>
      </c>
      <c r="G249">
        <v>6.29</v>
      </c>
      <c r="H249">
        <v>2.95</v>
      </c>
      <c r="BJ249">
        <v>1</v>
      </c>
      <c r="BK249">
        <v>33</v>
      </c>
      <c r="BL249" t="s">
        <v>15</v>
      </c>
      <c r="BM249">
        <v>1</v>
      </c>
      <c r="BN249">
        <v>2.95</v>
      </c>
      <c r="BO249">
        <v>2.95</v>
      </c>
    </row>
    <row r="250" spans="1:67">
      <c r="A250">
        <v>3</v>
      </c>
      <c r="B250" t="s">
        <v>253</v>
      </c>
      <c r="C250">
        <v>111</v>
      </c>
      <c r="D250">
        <v>1</v>
      </c>
      <c r="E250">
        <v>24</v>
      </c>
      <c r="F250" t="s">
        <v>15</v>
      </c>
      <c r="G250">
        <v>4.88</v>
      </c>
      <c r="H250">
        <v>7.49</v>
      </c>
      <c r="BJ250">
        <v>1</v>
      </c>
      <c r="BK250">
        <v>24</v>
      </c>
      <c r="BL250" t="s">
        <v>15</v>
      </c>
      <c r="BM250">
        <v>1</v>
      </c>
      <c r="BN250">
        <v>7.49</v>
      </c>
      <c r="BO250">
        <v>7.49</v>
      </c>
    </row>
    <row r="251" spans="1:67">
      <c r="A251">
        <v>4</v>
      </c>
      <c r="B251" t="s">
        <v>254</v>
      </c>
      <c r="C251">
        <v>112</v>
      </c>
      <c r="D251">
        <v>1</v>
      </c>
      <c r="E251">
        <v>58</v>
      </c>
      <c r="F251" t="s">
        <v>15</v>
      </c>
      <c r="G251">
        <v>20.2</v>
      </c>
      <c r="H251">
        <v>22.83</v>
      </c>
      <c r="BJ251">
        <v>1</v>
      </c>
      <c r="BK251">
        <v>58</v>
      </c>
      <c r="BL251" t="s">
        <v>15</v>
      </c>
      <c r="BM251">
        <v>1</v>
      </c>
      <c r="BN251">
        <v>22.83</v>
      </c>
      <c r="BO251">
        <v>22.83</v>
      </c>
    </row>
    <row r="252" spans="1:67">
      <c r="A252">
        <v>5</v>
      </c>
      <c r="B252" t="s">
        <v>255</v>
      </c>
      <c r="C252">
        <v>113</v>
      </c>
      <c r="D252">
        <v>2</v>
      </c>
      <c r="E252">
        <v>27</v>
      </c>
      <c r="F252" t="s">
        <v>15</v>
      </c>
      <c r="G252">
        <v>23.46</v>
      </c>
      <c r="H252">
        <v>26.15</v>
      </c>
      <c r="BJ252">
        <v>2</v>
      </c>
      <c r="BK252">
        <v>27</v>
      </c>
      <c r="BL252" t="s">
        <v>15</v>
      </c>
      <c r="BM252">
        <v>2</v>
      </c>
      <c r="BN252">
        <v>26.15</v>
      </c>
      <c r="BO252">
        <v>26.15</v>
      </c>
    </row>
    <row r="253" spans="1:67">
      <c r="A253">
        <v>6</v>
      </c>
      <c r="B253" t="s">
        <v>256</v>
      </c>
      <c r="C253">
        <v>114</v>
      </c>
      <c r="D253">
        <v>1</v>
      </c>
      <c r="E253">
        <v>25</v>
      </c>
      <c r="F253" t="s">
        <v>15</v>
      </c>
      <c r="G253">
        <v>6.29</v>
      </c>
      <c r="H253">
        <v>2.95</v>
      </c>
      <c r="BJ253">
        <v>1</v>
      </c>
      <c r="BK253">
        <v>25</v>
      </c>
      <c r="BL253" t="s">
        <v>15</v>
      </c>
      <c r="BM253">
        <v>1</v>
      </c>
      <c r="BN253">
        <v>2.95</v>
      </c>
      <c r="BO253">
        <v>2.95</v>
      </c>
    </row>
    <row r="254" spans="1:67">
      <c r="A254">
        <v>7</v>
      </c>
      <c r="B254" t="s">
        <v>257</v>
      </c>
      <c r="C254">
        <v>115</v>
      </c>
      <c r="D254">
        <v>1</v>
      </c>
      <c r="E254">
        <v>36</v>
      </c>
      <c r="F254" t="s">
        <v>15</v>
      </c>
      <c r="G254">
        <v>5.25</v>
      </c>
      <c r="H254">
        <v>6.54</v>
      </c>
      <c r="BJ254">
        <v>1</v>
      </c>
      <c r="BK254">
        <v>36</v>
      </c>
      <c r="BL254" t="s">
        <v>15</v>
      </c>
      <c r="BM254">
        <v>1</v>
      </c>
      <c r="BN254">
        <v>6.54</v>
      </c>
      <c r="BO254">
        <v>6.54</v>
      </c>
    </row>
    <row r="255" spans="1:67">
      <c r="A255">
        <v>8</v>
      </c>
      <c r="B255" t="s">
        <v>258</v>
      </c>
      <c r="C255">
        <v>116</v>
      </c>
      <c r="D255">
        <v>1</v>
      </c>
      <c r="E255">
        <v>32</v>
      </c>
      <c r="F255" t="s">
        <v>15</v>
      </c>
      <c r="G255">
        <v>9.7100000000000009</v>
      </c>
      <c r="H255">
        <v>17.62</v>
      </c>
      <c r="BJ255">
        <v>1</v>
      </c>
      <c r="BK255">
        <v>32</v>
      </c>
      <c r="BL255" t="s">
        <v>15</v>
      </c>
      <c r="BM255">
        <v>1</v>
      </c>
      <c r="BN255">
        <v>17.62</v>
      </c>
      <c r="BO255">
        <v>17.62</v>
      </c>
    </row>
    <row r="256" spans="1:67">
      <c r="A256">
        <v>9</v>
      </c>
      <c r="B256" t="s">
        <v>259</v>
      </c>
      <c r="C256">
        <v>117</v>
      </c>
      <c r="D256">
        <v>2</v>
      </c>
      <c r="E256">
        <v>41</v>
      </c>
      <c r="F256" t="s">
        <v>15</v>
      </c>
      <c r="G256">
        <v>24.8</v>
      </c>
      <c r="H256">
        <v>16.920000000000002</v>
      </c>
      <c r="BJ256">
        <v>2</v>
      </c>
      <c r="BK256">
        <v>41</v>
      </c>
      <c r="BL256" t="s">
        <v>15</v>
      </c>
      <c r="BM256">
        <v>2</v>
      </c>
      <c r="BN256">
        <v>16.920000000000002</v>
      </c>
      <c r="BO256">
        <v>16.920000000000002</v>
      </c>
    </row>
    <row r="257" spans="1:67">
      <c r="A257">
        <v>10</v>
      </c>
      <c r="B257" t="s">
        <v>260</v>
      </c>
      <c r="C257">
        <v>118</v>
      </c>
      <c r="D257">
        <v>1</v>
      </c>
      <c r="E257">
        <v>31</v>
      </c>
      <c r="F257" t="s">
        <v>15</v>
      </c>
      <c r="G257">
        <v>19.87</v>
      </c>
      <c r="H257">
        <v>15.04</v>
      </c>
      <c r="BJ257">
        <v>1</v>
      </c>
      <c r="BK257">
        <v>31</v>
      </c>
      <c r="BL257" t="s">
        <v>15</v>
      </c>
      <c r="BM257">
        <v>1</v>
      </c>
      <c r="BN257">
        <v>15.04</v>
      </c>
      <c r="BO257">
        <v>15.04</v>
      </c>
    </row>
    <row r="258" spans="1:67">
      <c r="A258">
        <v>11</v>
      </c>
      <c r="B258" t="s">
        <v>261</v>
      </c>
      <c r="C258">
        <v>119</v>
      </c>
      <c r="D258">
        <v>1</v>
      </c>
      <c r="E258">
        <v>45</v>
      </c>
      <c r="F258" t="s">
        <v>15</v>
      </c>
      <c r="G258">
        <v>18.86</v>
      </c>
      <c r="H258">
        <v>17.68</v>
      </c>
      <c r="BJ258">
        <v>1</v>
      </c>
      <c r="BK258">
        <v>45</v>
      </c>
      <c r="BL258" t="s">
        <v>15</v>
      </c>
      <c r="BM258">
        <v>1</v>
      </c>
      <c r="BN258">
        <v>17.68</v>
      </c>
      <c r="BO258">
        <v>17.68</v>
      </c>
    </row>
    <row r="259" spans="1:67">
      <c r="A259">
        <v>12</v>
      </c>
      <c r="B259" t="s">
        <v>262</v>
      </c>
      <c r="C259">
        <v>120</v>
      </c>
      <c r="D259">
        <v>2</v>
      </c>
      <c r="E259">
        <v>21</v>
      </c>
      <c r="F259" t="s">
        <v>15</v>
      </c>
      <c r="G259">
        <v>23.98</v>
      </c>
      <c r="H259">
        <v>22.61</v>
      </c>
      <c r="BJ259">
        <v>2</v>
      </c>
      <c r="BK259">
        <v>21</v>
      </c>
      <c r="BL259" t="s">
        <v>15</v>
      </c>
      <c r="BM259">
        <v>2</v>
      </c>
      <c r="BN259">
        <v>22.61</v>
      </c>
      <c r="BO259">
        <v>22.61</v>
      </c>
    </row>
    <row r="260" spans="1:67">
      <c r="A260">
        <v>13</v>
      </c>
      <c r="B260" t="s">
        <v>263</v>
      </c>
      <c r="C260">
        <v>121</v>
      </c>
      <c r="D260">
        <v>1</v>
      </c>
      <c r="E260">
        <v>66</v>
      </c>
      <c r="F260" t="s">
        <v>15</v>
      </c>
      <c r="G260">
        <v>24.65</v>
      </c>
      <c r="H260">
        <v>25.49</v>
      </c>
      <c r="BJ260">
        <v>1</v>
      </c>
      <c r="BK260">
        <v>66</v>
      </c>
      <c r="BL260" t="s">
        <v>15</v>
      </c>
      <c r="BM260">
        <v>1</v>
      </c>
      <c r="BN260">
        <v>25.49</v>
      </c>
      <c r="BO260">
        <v>25.49</v>
      </c>
    </row>
    <row r="261" spans="1:67">
      <c r="A261">
        <v>14</v>
      </c>
      <c r="B261" t="s">
        <v>264</v>
      </c>
      <c r="C261">
        <v>122</v>
      </c>
      <c r="D261">
        <v>1</v>
      </c>
      <c r="E261">
        <v>32</v>
      </c>
      <c r="F261" t="s">
        <v>15</v>
      </c>
      <c r="G261">
        <v>18.95</v>
      </c>
      <c r="H261">
        <v>13.39</v>
      </c>
      <c r="BJ261">
        <v>1</v>
      </c>
      <c r="BK261">
        <v>32</v>
      </c>
      <c r="BL261" t="s">
        <v>15</v>
      </c>
      <c r="BM261">
        <v>1</v>
      </c>
      <c r="BN261">
        <v>13.39</v>
      </c>
      <c r="BO261">
        <v>13.39</v>
      </c>
    </row>
    <row r="262" spans="1:67">
      <c r="A262">
        <v>15</v>
      </c>
      <c r="B262" t="s">
        <v>265</v>
      </c>
      <c r="C262">
        <v>123</v>
      </c>
      <c r="D262">
        <v>1</v>
      </c>
      <c r="E262">
        <v>57</v>
      </c>
      <c r="F262" t="s">
        <v>15</v>
      </c>
      <c r="G262">
        <v>27.18</v>
      </c>
      <c r="H262">
        <v>33.1</v>
      </c>
      <c r="BJ262">
        <v>1</v>
      </c>
      <c r="BK262">
        <v>57</v>
      </c>
      <c r="BL262" t="s">
        <v>15</v>
      </c>
      <c r="BM262">
        <v>1</v>
      </c>
      <c r="BN262">
        <v>33.1</v>
      </c>
      <c r="BO262">
        <v>33.1</v>
      </c>
    </row>
    <row r="263" spans="1:67">
      <c r="A263">
        <v>16</v>
      </c>
      <c r="B263" t="s">
        <v>266</v>
      </c>
      <c r="C263">
        <v>124</v>
      </c>
      <c r="D263">
        <v>1</v>
      </c>
      <c r="E263">
        <v>66</v>
      </c>
      <c r="F263" t="s">
        <v>15</v>
      </c>
      <c r="G263">
        <v>29.21</v>
      </c>
      <c r="H263">
        <v>21.67</v>
      </c>
      <c r="BJ263">
        <v>1</v>
      </c>
      <c r="BK263">
        <v>66</v>
      </c>
      <c r="BL263" t="s">
        <v>15</v>
      </c>
      <c r="BM263">
        <v>1</v>
      </c>
      <c r="BN263">
        <v>21.67</v>
      </c>
      <c r="BO263">
        <v>21.67</v>
      </c>
    </row>
    <row r="264" spans="1:67">
      <c r="A264">
        <v>17</v>
      </c>
      <c r="B264" t="s">
        <v>267</v>
      </c>
      <c r="C264">
        <v>125</v>
      </c>
      <c r="D264">
        <v>2</v>
      </c>
      <c r="E264">
        <v>24</v>
      </c>
      <c r="F264" t="s">
        <v>15</v>
      </c>
      <c r="G264">
        <v>22.08</v>
      </c>
      <c r="H264">
        <v>29.94</v>
      </c>
      <c r="BJ264">
        <v>2</v>
      </c>
      <c r="BK264">
        <v>24</v>
      </c>
      <c r="BL264" t="s">
        <v>15</v>
      </c>
      <c r="BM264">
        <v>2</v>
      </c>
      <c r="BN264">
        <v>29.94</v>
      </c>
      <c r="BO264">
        <v>29.94</v>
      </c>
    </row>
    <row r="265" spans="1:67">
      <c r="A265">
        <v>18</v>
      </c>
      <c r="B265" t="s">
        <v>268</v>
      </c>
      <c r="C265">
        <v>126</v>
      </c>
      <c r="D265">
        <v>2</v>
      </c>
      <c r="E265">
        <v>65</v>
      </c>
      <c r="F265" t="s">
        <v>15</v>
      </c>
      <c r="G265">
        <v>34.479999999999997</v>
      </c>
      <c r="H265">
        <v>27.89</v>
      </c>
      <c r="BJ265">
        <v>2</v>
      </c>
      <c r="BK265">
        <v>65</v>
      </c>
      <c r="BL265" t="s">
        <v>15</v>
      </c>
      <c r="BM265">
        <v>2</v>
      </c>
      <c r="BN265">
        <v>27.89</v>
      </c>
      <c r="BO265">
        <v>27.89</v>
      </c>
    </row>
    <row r="266" spans="1:67">
      <c r="A266">
        <v>19</v>
      </c>
      <c r="B266" t="s">
        <v>269</v>
      </c>
      <c r="C266">
        <v>127</v>
      </c>
      <c r="D266">
        <v>2</v>
      </c>
      <c r="E266">
        <v>26</v>
      </c>
      <c r="F266" t="s">
        <v>15</v>
      </c>
      <c r="G266">
        <v>32.549999999999997</v>
      </c>
      <c r="H266">
        <v>31.99</v>
      </c>
      <c r="BJ266">
        <v>2</v>
      </c>
      <c r="BK266">
        <v>26</v>
      </c>
      <c r="BL266" t="s">
        <v>15</v>
      </c>
      <c r="BM266">
        <v>2</v>
      </c>
      <c r="BN266">
        <v>31.99</v>
      </c>
      <c r="BO266">
        <v>31.99</v>
      </c>
    </row>
    <row r="267" spans="1:67">
      <c r="A267">
        <v>20</v>
      </c>
      <c r="B267" t="s">
        <v>270</v>
      </c>
      <c r="C267">
        <v>128</v>
      </c>
      <c r="D267">
        <v>1</v>
      </c>
      <c r="E267">
        <v>42</v>
      </c>
      <c r="F267" t="s">
        <v>15</v>
      </c>
      <c r="G267">
        <v>31.86</v>
      </c>
      <c r="H267">
        <v>32.96</v>
      </c>
      <c r="BJ267">
        <v>1</v>
      </c>
      <c r="BK267">
        <v>42</v>
      </c>
      <c r="BL267" t="s">
        <v>15</v>
      </c>
      <c r="BM267">
        <v>1</v>
      </c>
      <c r="BN267">
        <v>32.96</v>
      </c>
      <c r="BO267">
        <v>32.96</v>
      </c>
    </row>
    <row r="268" spans="1:67">
      <c r="A268">
        <v>21</v>
      </c>
      <c r="B268" t="s">
        <v>271</v>
      </c>
      <c r="C268">
        <v>129</v>
      </c>
      <c r="D268">
        <v>2</v>
      </c>
      <c r="E268">
        <v>53</v>
      </c>
      <c r="F268" t="s">
        <v>15</v>
      </c>
      <c r="G268">
        <v>19.920000000000002</v>
      </c>
      <c r="H268">
        <v>8.9</v>
      </c>
      <c r="BJ268">
        <v>2</v>
      </c>
      <c r="BK268">
        <v>53</v>
      </c>
      <c r="BL268" t="s">
        <v>15</v>
      </c>
      <c r="BM268">
        <v>2</v>
      </c>
      <c r="BN268">
        <v>8.9</v>
      </c>
      <c r="BO268">
        <v>8.9</v>
      </c>
    </row>
    <row r="269" spans="1:67">
      <c r="A269">
        <v>22</v>
      </c>
      <c r="B269" t="s">
        <v>272</v>
      </c>
      <c r="C269">
        <v>130</v>
      </c>
      <c r="D269">
        <v>1</v>
      </c>
      <c r="E269">
        <v>39</v>
      </c>
      <c r="F269" t="s">
        <v>15</v>
      </c>
      <c r="G269">
        <v>13.29</v>
      </c>
      <c r="H269">
        <v>12.52</v>
      </c>
      <c r="BJ269">
        <v>1</v>
      </c>
      <c r="BK269">
        <v>39</v>
      </c>
      <c r="BL269" t="s">
        <v>15</v>
      </c>
      <c r="BM269">
        <v>1</v>
      </c>
      <c r="BN269">
        <v>12.52</v>
      </c>
      <c r="BO269">
        <v>12.52</v>
      </c>
    </row>
    <row r="270" spans="1:67">
      <c r="A270">
        <v>23</v>
      </c>
      <c r="B270" t="s">
        <v>273</v>
      </c>
      <c r="C270">
        <v>131</v>
      </c>
      <c r="D270">
        <v>2</v>
      </c>
      <c r="E270">
        <v>46</v>
      </c>
      <c r="F270" t="s">
        <v>15</v>
      </c>
      <c r="G270">
        <v>24.17</v>
      </c>
      <c r="H270">
        <v>32.85</v>
      </c>
      <c r="BJ270">
        <v>2</v>
      </c>
      <c r="BK270">
        <v>46</v>
      </c>
      <c r="BL270" t="s">
        <v>15</v>
      </c>
      <c r="BM270">
        <v>2</v>
      </c>
      <c r="BN270">
        <v>32.85</v>
      </c>
      <c r="BO270">
        <v>32.85</v>
      </c>
    </row>
    <row r="271" spans="1:67">
      <c r="A271">
        <v>24</v>
      </c>
      <c r="B271" t="s">
        <v>274</v>
      </c>
      <c r="C271">
        <v>132</v>
      </c>
      <c r="D271">
        <v>2</v>
      </c>
      <c r="E271">
        <v>65</v>
      </c>
      <c r="F271" t="s">
        <v>15</v>
      </c>
      <c r="G271">
        <v>25.59</v>
      </c>
      <c r="H271">
        <v>28.43</v>
      </c>
      <c r="BJ271">
        <v>2</v>
      </c>
      <c r="BK271">
        <v>65</v>
      </c>
      <c r="BL271" t="s">
        <v>15</v>
      </c>
      <c r="BM271">
        <v>2</v>
      </c>
      <c r="BN271">
        <v>28.43</v>
      </c>
      <c r="BO271">
        <v>28.43</v>
      </c>
    </row>
    <row r="272" spans="1:67">
      <c r="A272">
        <v>25</v>
      </c>
      <c r="B272" t="s">
        <v>275</v>
      </c>
      <c r="C272">
        <v>133</v>
      </c>
      <c r="D272">
        <v>2</v>
      </c>
      <c r="E272">
        <v>23</v>
      </c>
      <c r="F272" t="s">
        <v>15</v>
      </c>
      <c r="G272">
        <v>23.83</v>
      </c>
      <c r="H272">
        <v>30.12</v>
      </c>
      <c r="BJ272">
        <v>2</v>
      </c>
      <c r="BK272">
        <v>23</v>
      </c>
      <c r="BL272" t="s">
        <v>15</v>
      </c>
      <c r="BM272">
        <v>2</v>
      </c>
      <c r="BN272">
        <v>30.12</v>
      </c>
      <c r="BO272">
        <v>30.12</v>
      </c>
    </row>
    <row r="273" spans="1:67">
      <c r="A273">
        <v>26</v>
      </c>
      <c r="B273" t="s">
        <v>276</v>
      </c>
      <c r="C273">
        <v>134</v>
      </c>
      <c r="D273">
        <v>1</v>
      </c>
      <c r="E273">
        <v>60</v>
      </c>
      <c r="F273" t="s">
        <v>15</v>
      </c>
      <c r="G273">
        <v>34.58</v>
      </c>
      <c r="H273">
        <v>26.43</v>
      </c>
      <c r="BJ273">
        <v>1</v>
      </c>
      <c r="BK273">
        <v>60</v>
      </c>
      <c r="BL273" t="s">
        <v>15</v>
      </c>
      <c r="BM273">
        <v>1</v>
      </c>
      <c r="BN273">
        <v>26.43</v>
      </c>
      <c r="BO273">
        <v>26.43</v>
      </c>
    </row>
    <row r="274" spans="1:67">
      <c r="A274">
        <v>27</v>
      </c>
      <c r="B274" t="s">
        <v>277</v>
      </c>
      <c r="C274">
        <v>135</v>
      </c>
      <c r="D274">
        <v>1</v>
      </c>
      <c r="E274">
        <v>50</v>
      </c>
      <c r="F274" t="s">
        <v>15</v>
      </c>
      <c r="G274">
        <v>17.920000000000002</v>
      </c>
      <c r="H274">
        <v>26.48</v>
      </c>
      <c r="BJ274">
        <v>1</v>
      </c>
      <c r="BK274">
        <v>50</v>
      </c>
      <c r="BL274" t="s">
        <v>15</v>
      </c>
      <c r="BM274">
        <v>1</v>
      </c>
      <c r="BN274">
        <v>26.48</v>
      </c>
      <c r="BO274">
        <v>26.48</v>
      </c>
    </row>
    <row r="278" spans="1:67">
      <c r="A278" t="s">
        <v>51</v>
      </c>
      <c r="B278" t="s">
        <v>52</v>
      </c>
      <c r="C278" t="s">
        <v>53</v>
      </c>
      <c r="D278" t="s">
        <v>54</v>
      </c>
      <c r="E278" t="s">
        <v>55</v>
      </c>
      <c r="F278" t="s">
        <v>56</v>
      </c>
      <c r="G278" t="s">
        <v>309</v>
      </c>
      <c r="H278" t="s">
        <v>22</v>
      </c>
      <c r="J278" t="s">
        <v>63</v>
      </c>
      <c r="BJ278" t="s">
        <v>54</v>
      </c>
      <c r="BK278" t="s">
        <v>55</v>
      </c>
      <c r="BL278" t="s">
        <v>56</v>
      </c>
      <c r="BM278" t="s">
        <v>54</v>
      </c>
      <c r="BN278" t="s">
        <v>22</v>
      </c>
      <c r="BO278" t="s">
        <v>22</v>
      </c>
    </row>
    <row r="279" spans="1:67">
      <c r="A279">
        <v>1</v>
      </c>
      <c r="B279" t="s">
        <v>60</v>
      </c>
      <c r="C279">
        <v>1</v>
      </c>
      <c r="D279">
        <v>1</v>
      </c>
      <c r="E279">
        <v>69</v>
      </c>
      <c r="F279" t="s">
        <v>11</v>
      </c>
      <c r="G279">
        <v>17.8</v>
      </c>
      <c r="H279">
        <v>17.600000000000001</v>
      </c>
      <c r="BJ279">
        <v>1</v>
      </c>
      <c r="BK279">
        <v>69</v>
      </c>
      <c r="BL279" t="s">
        <v>11</v>
      </c>
      <c r="BM279">
        <v>1</v>
      </c>
      <c r="BN279">
        <v>17.600000000000001</v>
      </c>
      <c r="BO279">
        <v>17.600000000000001</v>
      </c>
    </row>
    <row r="280" spans="1:67">
      <c r="A280">
        <v>2</v>
      </c>
      <c r="B280" t="s">
        <v>64</v>
      </c>
      <c r="C280">
        <v>2</v>
      </c>
      <c r="D280">
        <v>2</v>
      </c>
      <c r="E280">
        <v>39</v>
      </c>
      <c r="F280" t="s">
        <v>11</v>
      </c>
      <c r="G280">
        <v>18</v>
      </c>
      <c r="H280">
        <v>19</v>
      </c>
      <c r="J280" s="46" t="str">
        <f t="array" ref="J280:N307">[1]!StdAnova1(F279:G413)</f>
        <v>I</v>
      </c>
      <c r="K280" s="47" t="str">
        <v>II ALTO</v>
      </c>
      <c r="L280" s="46" t="str">
        <v>II BAJO</v>
      </c>
      <c r="M280" t="str">
        <v>III ALTO</v>
      </c>
      <c r="N280" s="46" t="str">
        <v>III BAJO</v>
      </c>
      <c r="O280" s="46"/>
      <c r="P280" s="46" t="s">
        <v>278</v>
      </c>
      <c r="S280" t="s">
        <v>279</v>
      </c>
      <c r="Z280" t="s">
        <v>280</v>
      </c>
      <c r="BJ280">
        <v>2</v>
      </c>
      <c r="BK280">
        <v>39</v>
      </c>
      <c r="BL280" t="s">
        <v>11</v>
      </c>
      <c r="BM280">
        <v>2</v>
      </c>
      <c r="BN280">
        <v>19</v>
      </c>
      <c r="BO280">
        <v>19</v>
      </c>
    </row>
    <row r="281" spans="1:67">
      <c r="A281">
        <v>3</v>
      </c>
      <c r="B281" t="s">
        <v>68</v>
      </c>
      <c r="C281">
        <v>3</v>
      </c>
      <c r="D281">
        <v>2</v>
      </c>
      <c r="E281">
        <v>58</v>
      </c>
      <c r="F281" t="s">
        <v>11</v>
      </c>
      <c r="G281">
        <v>19</v>
      </c>
      <c r="H281">
        <v>19.3</v>
      </c>
      <c r="J281" s="51">
        <v>17.8</v>
      </c>
      <c r="K281" s="52">
        <v>26.56</v>
      </c>
      <c r="L281" s="52">
        <v>26.5</v>
      </c>
      <c r="M281" s="52">
        <v>16.5</v>
      </c>
      <c r="N281" s="53">
        <v>16.600000000000001</v>
      </c>
      <c r="BJ281">
        <v>2</v>
      </c>
      <c r="BK281">
        <v>58</v>
      </c>
      <c r="BL281" t="s">
        <v>11</v>
      </c>
      <c r="BM281">
        <v>2</v>
      </c>
      <c r="BN281">
        <v>19.3</v>
      </c>
      <c r="BO281">
        <v>19.3</v>
      </c>
    </row>
    <row r="282" spans="1:67">
      <c r="A282">
        <v>4</v>
      </c>
      <c r="B282" t="s">
        <v>73</v>
      </c>
      <c r="C282">
        <v>4</v>
      </c>
      <c r="D282">
        <v>2</v>
      </c>
      <c r="E282">
        <v>36</v>
      </c>
      <c r="F282" t="s">
        <v>11</v>
      </c>
      <c r="G282">
        <v>14</v>
      </c>
      <c r="H282">
        <v>13.9</v>
      </c>
      <c r="J282" s="54">
        <v>18</v>
      </c>
      <c r="K282">
        <v>33.4</v>
      </c>
      <c r="L282">
        <v>27.2</v>
      </c>
      <c r="M282">
        <v>31.42</v>
      </c>
      <c r="N282" s="55">
        <v>2.95</v>
      </c>
      <c r="P282" t="s">
        <v>281</v>
      </c>
      <c r="Q282" s="43" t="s">
        <v>23</v>
      </c>
      <c r="S282" s="42"/>
      <c r="T282" s="42" t="str">
        <f>J280</f>
        <v>I</v>
      </c>
      <c r="U282" s="42" t="str">
        <f>K280</f>
        <v>II ALTO</v>
      </c>
      <c r="V282" s="42" t="str">
        <f>L280</f>
        <v>II BAJO</v>
      </c>
      <c r="W282" s="42" t="str">
        <f>M280</f>
        <v>III ALTO</v>
      </c>
      <c r="X282" s="42" t="str">
        <f>N280</f>
        <v>III BAJO</v>
      </c>
      <c r="Z282" s="42"/>
      <c r="AA282" s="42" t="str">
        <f>J280</f>
        <v>I</v>
      </c>
      <c r="AB282" s="42" t="str">
        <f>K280</f>
        <v>II ALTO</v>
      </c>
      <c r="AC282" s="42" t="str">
        <f>L280</f>
        <v>II BAJO</v>
      </c>
      <c r="AD282" s="42" t="str">
        <f>M280</f>
        <v>III ALTO</v>
      </c>
      <c r="AE282" s="42" t="str">
        <f>N280</f>
        <v>III BAJO</v>
      </c>
      <c r="BJ282">
        <v>2</v>
      </c>
      <c r="BK282">
        <v>36</v>
      </c>
      <c r="BL282" t="s">
        <v>11</v>
      </c>
      <c r="BM282">
        <v>2</v>
      </c>
      <c r="BN282">
        <v>13.9</v>
      </c>
      <c r="BO282">
        <v>13.9</v>
      </c>
    </row>
    <row r="283" spans="1:67">
      <c r="A283">
        <v>5</v>
      </c>
      <c r="B283" t="s">
        <v>81</v>
      </c>
      <c r="C283">
        <v>5</v>
      </c>
      <c r="D283">
        <v>2</v>
      </c>
      <c r="E283">
        <v>52</v>
      </c>
      <c r="F283" t="s">
        <v>11</v>
      </c>
      <c r="G283">
        <v>20.9</v>
      </c>
      <c r="H283">
        <v>21.5</v>
      </c>
      <c r="J283" s="54">
        <v>19</v>
      </c>
      <c r="K283">
        <v>43.01</v>
      </c>
      <c r="L283">
        <v>24.89</v>
      </c>
      <c r="M283">
        <v>13.53</v>
      </c>
      <c r="N283" s="55">
        <v>7.49</v>
      </c>
      <c r="P283" t="s">
        <v>282</v>
      </c>
      <c r="Q283" s="48">
        <f>[1]!LEVENE(J281:N307)</f>
        <v>2.33861580645367E-3</v>
      </c>
      <c r="S283" t="s">
        <v>4</v>
      </c>
      <c r="T283">
        <f>AVERAGE(J281:J307)</f>
        <v>17.155555555555555</v>
      </c>
      <c r="U283">
        <f>AVERAGE(K281:K307)</f>
        <v>30.665925925925922</v>
      </c>
      <c r="V283">
        <f>AVERAGE(L281:L307)</f>
        <v>23.486296296296295</v>
      </c>
      <c r="W283">
        <f>AVERAGE(M281:M307)</f>
        <v>19.674074074074074</v>
      </c>
      <c r="X283">
        <f>AVERAGE(N281:N307)</f>
        <v>20.649629629629629</v>
      </c>
      <c r="Z283" t="s">
        <v>283</v>
      </c>
      <c r="AA283">
        <f>[1]!SHAPIRO(J281:J307)</f>
        <v>0.8786259719448023</v>
      </c>
      <c r="AB283">
        <f>[1]!SHAPIRO(K281:K307)</f>
        <v>0.96407701667463275</v>
      </c>
      <c r="AC283">
        <f>[1]!SHAPIRO(L281:L307)</f>
        <v>0.96150780276261905</v>
      </c>
      <c r="AD283">
        <f>[1]!SHAPIRO(M281:M307)</f>
        <v>0.97547804541925343</v>
      </c>
      <c r="AE283">
        <f>[1]!SHAPIRO(N281:N307)</f>
        <v>0.93348186634484986</v>
      </c>
      <c r="BJ283">
        <v>2</v>
      </c>
      <c r="BK283">
        <v>52</v>
      </c>
      <c r="BL283" t="s">
        <v>11</v>
      </c>
      <c r="BM283">
        <v>2</v>
      </c>
      <c r="BN283">
        <v>21.5</v>
      </c>
      <c r="BO283">
        <v>21.5</v>
      </c>
    </row>
    <row r="284" spans="1:67">
      <c r="A284">
        <v>6</v>
      </c>
      <c r="B284" t="s">
        <v>84</v>
      </c>
      <c r="C284">
        <v>6</v>
      </c>
      <c r="D284">
        <v>1</v>
      </c>
      <c r="E284">
        <v>22</v>
      </c>
      <c r="F284" t="s">
        <v>11</v>
      </c>
      <c r="G284">
        <v>14.1</v>
      </c>
      <c r="H284">
        <v>14.5</v>
      </c>
      <c r="J284" s="54">
        <v>14</v>
      </c>
      <c r="K284">
        <v>38.340000000000003</v>
      </c>
      <c r="L284">
        <v>17.87</v>
      </c>
      <c r="M284">
        <v>16.62</v>
      </c>
      <c r="N284" s="55">
        <v>22.83</v>
      </c>
      <c r="O284" s="43"/>
      <c r="P284" s="43" t="s">
        <v>284</v>
      </c>
      <c r="Q284" s="49">
        <f>[1]!LEVENE(J281:N307,1)</f>
        <v>6.6220913150893956E-3</v>
      </c>
      <c r="S284" t="s">
        <v>5</v>
      </c>
      <c r="T284">
        <f>_xlfn.STDEV.S(J281:J307)/SQRT(COUNT(J281:J307))</f>
        <v>0.90344912578793724</v>
      </c>
      <c r="U284">
        <f>_xlfn.STDEV.S(K281:K307)/SQRT(COUNT(K281:K307))</f>
        <v>1.4831436793440294</v>
      </c>
      <c r="V284">
        <f>_xlfn.STDEV.S(L281:L307)/SQRT(COUNT(L281:L307))</f>
        <v>1.5729254096115792</v>
      </c>
      <c r="W284">
        <f>_xlfn.STDEV.S(M281:M307)/SQRT(COUNT(M281:M307))</f>
        <v>1.5167938576571842</v>
      </c>
      <c r="X284">
        <f>_xlfn.STDEV.S(N281:N307)/SQRT(COUNT(N281:N307))</f>
        <v>1.8254010589629623</v>
      </c>
      <c r="Z284" t="s">
        <v>23</v>
      </c>
      <c r="AA284">
        <f>[1]!SWTEST(J281:J307)</f>
        <v>4.4871803031905078E-3</v>
      </c>
      <c r="AB284">
        <f>[1]!SWTEST(K281:K307)</f>
        <v>0.45537981149859341</v>
      </c>
      <c r="AC284">
        <f>[1]!SWTEST(L281:L307)</f>
        <v>0.39975597033171839</v>
      </c>
      <c r="AD284">
        <f>[1]!SWTEST(M281:M307)</f>
        <v>0.74927764436293587</v>
      </c>
      <c r="AE284">
        <f>[1]!SWTEST(N281:N307)</f>
        <v>8.4156018956150325E-2</v>
      </c>
      <c r="BJ284">
        <v>1</v>
      </c>
      <c r="BK284">
        <v>22</v>
      </c>
      <c r="BL284" t="s">
        <v>11</v>
      </c>
      <c r="BM284">
        <v>1</v>
      </c>
      <c r="BN284">
        <v>14.5</v>
      </c>
      <c r="BO284">
        <v>14.5</v>
      </c>
    </row>
    <row r="285" spans="1:67">
      <c r="A285">
        <v>7</v>
      </c>
      <c r="B285" t="s">
        <v>87</v>
      </c>
      <c r="C285">
        <v>7</v>
      </c>
      <c r="D285">
        <v>2</v>
      </c>
      <c r="E285">
        <v>28</v>
      </c>
      <c r="F285" t="s">
        <v>11</v>
      </c>
      <c r="G285">
        <v>14.6</v>
      </c>
      <c r="H285">
        <v>15.4</v>
      </c>
      <c r="J285" s="54">
        <v>20.9</v>
      </c>
      <c r="K285">
        <v>35.549999999999997</v>
      </c>
      <c r="L285">
        <v>9.82</v>
      </c>
      <c r="M285">
        <v>24.05</v>
      </c>
      <c r="N285" s="55">
        <v>26.15</v>
      </c>
      <c r="P285" t="s">
        <v>285</v>
      </c>
      <c r="Q285" s="50">
        <f>[1]!LEVENE(J281:N307,-1)</f>
        <v>2.5171860168269333E-3</v>
      </c>
      <c r="S285" t="s">
        <v>6</v>
      </c>
      <c r="T285">
        <f>MEDIAN(J281:J307)</f>
        <v>17.600000000000001</v>
      </c>
      <c r="U285">
        <f>MEDIAN(K281:K307)</f>
        <v>29.49</v>
      </c>
      <c r="V285">
        <f>MEDIAN(L281:L307)</f>
        <v>24.89</v>
      </c>
      <c r="W285">
        <f>MEDIAN(M281:M307)</f>
        <v>19.329999999999998</v>
      </c>
      <c r="X285">
        <f>MEDIAN(N281:N307)</f>
        <v>22.61</v>
      </c>
      <c r="Z285" t="s">
        <v>286</v>
      </c>
      <c r="AA285">
        <v>0.05</v>
      </c>
      <c r="AB285">
        <v>0.05</v>
      </c>
      <c r="AC285">
        <v>0.05</v>
      </c>
      <c r="AD285">
        <v>0.05</v>
      </c>
      <c r="AE285">
        <v>0.05</v>
      </c>
      <c r="BJ285">
        <v>2</v>
      </c>
      <c r="BK285">
        <v>28</v>
      </c>
      <c r="BL285" t="s">
        <v>11</v>
      </c>
      <c r="BM285">
        <v>2</v>
      </c>
      <c r="BN285">
        <v>15.4</v>
      </c>
      <c r="BO285">
        <v>15.4</v>
      </c>
    </row>
    <row r="286" spans="1:67">
      <c r="A286">
        <v>8</v>
      </c>
      <c r="B286" t="s">
        <v>90</v>
      </c>
      <c r="C286">
        <v>8</v>
      </c>
      <c r="D286">
        <v>1</v>
      </c>
      <c r="E286">
        <v>32</v>
      </c>
      <c r="F286" t="s">
        <v>11</v>
      </c>
      <c r="G286">
        <v>17.600000000000001</v>
      </c>
      <c r="H286">
        <v>17.8</v>
      </c>
      <c r="J286" s="54">
        <v>14.1</v>
      </c>
      <c r="K286">
        <v>26.82</v>
      </c>
      <c r="L286">
        <v>34.450000000000003</v>
      </c>
      <c r="M286">
        <v>23.02</v>
      </c>
      <c r="N286" s="55">
        <v>2.95</v>
      </c>
      <c r="S286" t="s">
        <v>287</v>
      </c>
      <c r="T286">
        <f>MODE(J281:J307)</f>
        <v>15.2</v>
      </c>
      <c r="U286" t="e">
        <f>MODE(K281:K307)</f>
        <v>#N/A</v>
      </c>
      <c r="V286">
        <f>MODE(L281:L307)</f>
        <v>28.43</v>
      </c>
      <c r="W286" t="e">
        <f>MODE(M281:M307)</f>
        <v>#N/A</v>
      </c>
      <c r="X286">
        <f>MODE(N281:N307)</f>
        <v>2.95</v>
      </c>
      <c r="Z286" s="41" t="s">
        <v>288</v>
      </c>
      <c r="AA286" s="44" t="str">
        <f>IF(AA284&lt;AA285,"no","yes")</f>
        <v>no</v>
      </c>
      <c r="AB286" s="44" t="str">
        <f>IF(AB284&lt;AB285,"no","yes")</f>
        <v>yes</v>
      </c>
      <c r="AC286" s="44" t="str">
        <f>IF(AC284&lt;AC285,"no","yes")</f>
        <v>yes</v>
      </c>
      <c r="AD286" s="44" t="str">
        <f>IF(AD284&lt;AD285,"no","yes")</f>
        <v>yes</v>
      </c>
      <c r="AE286" s="44" t="str">
        <f>IF(AE284&lt;AE285,"no","yes")</f>
        <v>yes</v>
      </c>
      <c r="BJ286">
        <v>1</v>
      </c>
      <c r="BK286">
        <v>32</v>
      </c>
      <c r="BL286" t="s">
        <v>11</v>
      </c>
      <c r="BM286">
        <v>1</v>
      </c>
      <c r="BN286">
        <v>17.8</v>
      </c>
      <c r="BO286">
        <v>17.8</v>
      </c>
    </row>
    <row r="287" spans="1:67">
      <c r="A287">
        <v>9</v>
      </c>
      <c r="B287" t="s">
        <v>93</v>
      </c>
      <c r="C287">
        <v>9</v>
      </c>
      <c r="D287">
        <v>1</v>
      </c>
      <c r="E287">
        <v>58</v>
      </c>
      <c r="F287" t="s">
        <v>11</v>
      </c>
      <c r="G287">
        <v>22.3</v>
      </c>
      <c r="H287">
        <v>22</v>
      </c>
      <c r="J287" s="54">
        <v>14.6</v>
      </c>
      <c r="K287">
        <v>18.079999999999998</v>
      </c>
      <c r="L287">
        <v>4.2699999999999996</v>
      </c>
      <c r="M287">
        <v>19.329999999999998</v>
      </c>
      <c r="N287" s="55">
        <v>6.54</v>
      </c>
      <c r="S287" t="s">
        <v>289</v>
      </c>
      <c r="T287">
        <f>_xlfn.STDEV.S(J281:J307)</f>
        <v>4.694459363755179</v>
      </c>
      <c r="U287">
        <f>_xlfn.STDEV.S(K281:K307)</f>
        <v>7.7066406226455069</v>
      </c>
      <c r="V287">
        <f>_xlfn.STDEV.S(L281:L307)</f>
        <v>8.1731601778900291</v>
      </c>
      <c r="W287">
        <f>_xlfn.STDEV.S(M281:M307)</f>
        <v>7.8814920782119158</v>
      </c>
      <c r="X287">
        <f>_xlfn.STDEV.S(N281:N307)</f>
        <v>9.4850621349416482</v>
      </c>
      <c r="BJ287">
        <v>1</v>
      </c>
      <c r="BK287">
        <v>58</v>
      </c>
      <c r="BL287" t="s">
        <v>11</v>
      </c>
      <c r="BM287">
        <v>1</v>
      </c>
      <c r="BN287">
        <v>22</v>
      </c>
      <c r="BO287">
        <v>22</v>
      </c>
    </row>
    <row r="288" spans="1:67">
      <c r="A288">
        <v>10</v>
      </c>
      <c r="B288" t="s">
        <v>94</v>
      </c>
      <c r="C288">
        <v>10</v>
      </c>
      <c r="D288">
        <v>2</v>
      </c>
      <c r="E288">
        <v>59</v>
      </c>
      <c r="F288" t="s">
        <v>11</v>
      </c>
      <c r="G288">
        <v>15.4</v>
      </c>
      <c r="H288">
        <v>16.100000000000001</v>
      </c>
      <c r="J288" s="54">
        <v>17.600000000000001</v>
      </c>
      <c r="K288">
        <v>37.770000000000003</v>
      </c>
      <c r="L288">
        <v>16.78</v>
      </c>
      <c r="M288">
        <v>33.1</v>
      </c>
      <c r="N288" s="55">
        <v>17.62</v>
      </c>
      <c r="S288" t="s">
        <v>290</v>
      </c>
      <c r="T288">
        <f>_xlfn.VAR.S(J281:J307)</f>
        <v>22.037948717948684</v>
      </c>
      <c r="U288">
        <f>_xlfn.VAR.S(K281:K307)</f>
        <v>59.39230968660992</v>
      </c>
      <c r="V288">
        <f>_xlfn.VAR.S(L281:L307)</f>
        <v>66.80054729344738</v>
      </c>
      <c r="W288">
        <f>_xlfn.VAR.S(M281:M307)</f>
        <v>62.117917378917177</v>
      </c>
      <c r="X288">
        <f>_xlfn.VAR.S(N281:N307)</f>
        <v>89.966403703703833</v>
      </c>
      <c r="Z288" t="s">
        <v>291</v>
      </c>
      <c r="BJ288">
        <v>2</v>
      </c>
      <c r="BK288">
        <v>59</v>
      </c>
      <c r="BL288" t="s">
        <v>11</v>
      </c>
      <c r="BM288">
        <v>2</v>
      </c>
      <c r="BN288">
        <v>16.100000000000001</v>
      </c>
      <c r="BO288">
        <v>16.100000000000001</v>
      </c>
    </row>
    <row r="289" spans="1:67">
      <c r="A289">
        <v>11</v>
      </c>
      <c r="B289" t="s">
        <v>95</v>
      </c>
      <c r="C289">
        <v>11</v>
      </c>
      <c r="D289">
        <v>2</v>
      </c>
      <c r="E289">
        <v>42</v>
      </c>
      <c r="F289" t="s">
        <v>11</v>
      </c>
      <c r="G289">
        <v>18.2</v>
      </c>
      <c r="H289">
        <v>18.5</v>
      </c>
      <c r="J289" s="54">
        <v>22.3</v>
      </c>
      <c r="K289">
        <v>47.48</v>
      </c>
      <c r="L289">
        <v>25.34</v>
      </c>
      <c r="M289">
        <v>28.92</v>
      </c>
      <c r="N289" s="55">
        <v>16.920000000000002</v>
      </c>
      <c r="S289" t="s">
        <v>292</v>
      </c>
      <c r="T289">
        <f>KURT(J281:J307)</f>
        <v>4.9872711004626096</v>
      </c>
      <c r="U289">
        <f>KURT(K281:K307)</f>
        <v>-0.79488065141865549</v>
      </c>
      <c r="V289">
        <f>KURT(L281:L307)</f>
        <v>0.55641647315970522</v>
      </c>
      <c r="W289">
        <f>KURT(M281:M307)</f>
        <v>-0.79314311463078457</v>
      </c>
      <c r="X289">
        <f>KURT(N281:N307)</f>
        <v>-0.95452885907451179</v>
      </c>
      <c r="BJ289">
        <v>2</v>
      </c>
      <c r="BK289">
        <v>42</v>
      </c>
      <c r="BL289" t="s">
        <v>11</v>
      </c>
      <c r="BM289">
        <v>2</v>
      </c>
      <c r="BN289">
        <v>18.5</v>
      </c>
      <c r="BO289">
        <v>18.5</v>
      </c>
    </row>
    <row r="290" spans="1:67">
      <c r="A290">
        <v>12</v>
      </c>
      <c r="B290" t="s">
        <v>97</v>
      </c>
      <c r="C290">
        <v>12</v>
      </c>
      <c r="D290">
        <v>2</v>
      </c>
      <c r="E290">
        <v>66</v>
      </c>
      <c r="F290" t="s">
        <v>11</v>
      </c>
      <c r="G290">
        <v>15.2</v>
      </c>
      <c r="H290">
        <v>14.6</v>
      </c>
      <c r="J290" s="54">
        <v>15.4</v>
      </c>
      <c r="K290">
        <v>39.42</v>
      </c>
      <c r="L290">
        <v>26.96</v>
      </c>
      <c r="M290">
        <v>23.55</v>
      </c>
      <c r="N290" s="55">
        <v>15.04</v>
      </c>
      <c r="S290" t="s">
        <v>293</v>
      </c>
      <c r="T290">
        <f>SKEW(J281:J307)</f>
        <v>-1.5461384700449423</v>
      </c>
      <c r="U290">
        <f>SKEW(K281:K307)</f>
        <v>0.27222074968994353</v>
      </c>
      <c r="V290">
        <f>SKEW(L281:L307)</f>
        <v>-0.44361318743563632</v>
      </c>
      <c r="W290">
        <f>SKEW(M281:M307)</f>
        <v>-3.3887901029814628E-3</v>
      </c>
      <c r="X290">
        <f>SKEW(N281:N307)</f>
        <v>-0.42868516091500464</v>
      </c>
      <c r="Z290" s="45" t="s">
        <v>294</v>
      </c>
      <c r="AA290" s="45">
        <f>[1]!DAGOSTINO(J281:J307)</f>
        <v>18.39631294115626</v>
      </c>
      <c r="AB290" s="45">
        <f>[1]!DAGOSTINO(K281:K307)</f>
        <v>1.5527538300296075</v>
      </c>
      <c r="AC290" s="45">
        <f>[1]!DAGOSTINO(L281:L307)</f>
        <v>1.7586527943785653</v>
      </c>
      <c r="AD290" s="45">
        <f>[1]!DAGOSTINO(M281:M307)</f>
        <v>1.1344287750255082</v>
      </c>
      <c r="AE290" s="45">
        <f>[1]!DAGOSTINO(N281:N307)</f>
        <v>3.0762688154259568</v>
      </c>
      <c r="BJ290">
        <v>2</v>
      </c>
      <c r="BK290">
        <v>66</v>
      </c>
      <c r="BL290" t="s">
        <v>11</v>
      </c>
      <c r="BM290">
        <v>2</v>
      </c>
      <c r="BN290">
        <v>14.6</v>
      </c>
      <c r="BO290">
        <v>14.6</v>
      </c>
    </row>
    <row r="291" spans="1:67">
      <c r="A291">
        <v>13</v>
      </c>
      <c r="B291" t="s">
        <v>104</v>
      </c>
      <c r="C291">
        <v>13</v>
      </c>
      <c r="D291">
        <v>1</v>
      </c>
      <c r="E291">
        <v>26</v>
      </c>
      <c r="F291" t="s">
        <v>11</v>
      </c>
      <c r="G291">
        <v>20.6</v>
      </c>
      <c r="H291">
        <v>20.8</v>
      </c>
      <c r="J291" s="54">
        <v>18.2</v>
      </c>
      <c r="K291">
        <v>37.340000000000003</v>
      </c>
      <c r="L291">
        <v>22.74</v>
      </c>
      <c r="M291">
        <v>10.3</v>
      </c>
      <c r="N291" s="55">
        <v>17.68</v>
      </c>
      <c r="O291" s="43"/>
      <c r="P291" s="43"/>
      <c r="S291" t="s">
        <v>295</v>
      </c>
      <c r="T291">
        <f>T292-T293</f>
        <v>23.9</v>
      </c>
      <c r="U291">
        <f>U292-U293</f>
        <v>29.4</v>
      </c>
      <c r="V291">
        <f>V292-V293</f>
        <v>35.900000000000006</v>
      </c>
      <c r="W291">
        <f>W292-W293</f>
        <v>28.69</v>
      </c>
      <c r="X291">
        <f>X292-X293</f>
        <v>30.150000000000002</v>
      </c>
      <c r="Z291" t="s">
        <v>23</v>
      </c>
      <c r="AA291">
        <f>[1]!DPTEST(J281:J307)</f>
        <v>1.0122584274896429E-4</v>
      </c>
      <c r="AB291">
        <f>[1]!DPTEST(K281:K307)</f>
        <v>0.46006986756814472</v>
      </c>
      <c r="AC291">
        <f>[1]!DPTEST(L281:L307)</f>
        <v>0.41506240473981437</v>
      </c>
      <c r="AD291">
        <f>[1]!DPTEST(M281:M307)</f>
        <v>0.56710296959823014</v>
      </c>
      <c r="AE291">
        <f>[1]!DPTEST(N281:N307)</f>
        <v>0.21478142245808973</v>
      </c>
      <c r="BJ291">
        <v>1</v>
      </c>
      <c r="BK291">
        <v>26</v>
      </c>
      <c r="BL291" t="s">
        <v>11</v>
      </c>
      <c r="BM291">
        <v>1</v>
      </c>
      <c r="BN291">
        <v>20.8</v>
      </c>
      <c r="BO291">
        <v>20.8</v>
      </c>
    </row>
    <row r="292" spans="1:67">
      <c r="A292">
        <v>14</v>
      </c>
      <c r="B292" t="s">
        <v>106</v>
      </c>
      <c r="C292">
        <v>14</v>
      </c>
      <c r="D292">
        <v>2</v>
      </c>
      <c r="E292">
        <v>35</v>
      </c>
      <c r="F292" t="s">
        <v>11</v>
      </c>
      <c r="G292">
        <v>24.5</v>
      </c>
      <c r="H292">
        <v>23</v>
      </c>
      <c r="J292" s="54">
        <v>15.2</v>
      </c>
      <c r="K292">
        <v>20.89</v>
      </c>
      <c r="L292">
        <v>28.43</v>
      </c>
      <c r="M292">
        <v>25.07</v>
      </c>
      <c r="N292" s="55">
        <v>22.61</v>
      </c>
      <c r="S292" t="s">
        <v>7</v>
      </c>
      <c r="T292">
        <f>MAX(J281:J307)</f>
        <v>24.5</v>
      </c>
      <c r="U292">
        <f>MAX(K281:K307)</f>
        <v>47.48</v>
      </c>
      <c r="V292">
        <f>MAX(L281:L307)</f>
        <v>40.17</v>
      </c>
      <c r="W292">
        <f>MAX(M281:M307)</f>
        <v>33.17</v>
      </c>
      <c r="X292">
        <f>MAX(N281:N307)</f>
        <v>33.1</v>
      </c>
      <c r="Z292" t="s">
        <v>286</v>
      </c>
      <c r="AA292">
        <v>0.05</v>
      </c>
      <c r="AB292">
        <v>0.05</v>
      </c>
      <c r="AC292">
        <v>0.05</v>
      </c>
      <c r="AD292">
        <v>0.05</v>
      </c>
      <c r="AE292">
        <v>0.05</v>
      </c>
      <c r="BJ292">
        <v>2</v>
      </c>
      <c r="BK292">
        <v>35</v>
      </c>
      <c r="BL292" t="s">
        <v>11</v>
      </c>
      <c r="BM292">
        <v>2</v>
      </c>
      <c r="BN292">
        <v>23</v>
      </c>
      <c r="BO292">
        <v>23</v>
      </c>
    </row>
    <row r="293" spans="1:67">
      <c r="A293">
        <v>15</v>
      </c>
      <c r="B293" t="s">
        <v>121</v>
      </c>
      <c r="C293">
        <v>15</v>
      </c>
      <c r="D293">
        <v>1</v>
      </c>
      <c r="E293">
        <v>44</v>
      </c>
      <c r="F293" t="s">
        <v>11</v>
      </c>
      <c r="G293">
        <v>20.399999999999999</v>
      </c>
      <c r="H293">
        <v>19.3</v>
      </c>
      <c r="J293" s="54">
        <v>20.6</v>
      </c>
      <c r="K293">
        <v>33.75</v>
      </c>
      <c r="L293">
        <v>36.29</v>
      </c>
      <c r="M293">
        <v>8.67</v>
      </c>
      <c r="N293" s="55">
        <v>25.49</v>
      </c>
      <c r="S293" t="s">
        <v>8</v>
      </c>
      <c r="T293">
        <f>MIN(J281:J307)</f>
        <v>0.6</v>
      </c>
      <c r="U293">
        <f>MIN(K281:K307)</f>
        <v>18.079999999999998</v>
      </c>
      <c r="V293">
        <f>MIN(L281:L307)</f>
        <v>4.2699999999999996</v>
      </c>
      <c r="W293">
        <f>MIN(M281:M307)</f>
        <v>4.4800000000000004</v>
      </c>
      <c r="X293">
        <f>MIN(N281:N307)</f>
        <v>2.95</v>
      </c>
      <c r="Z293" s="41" t="s">
        <v>288</v>
      </c>
      <c r="AA293" s="44" t="str">
        <f>IF(AA291&lt;AA292,"no","yes")</f>
        <v>no</v>
      </c>
      <c r="AB293" s="44" t="str">
        <f>IF(AB291&lt;AB292,"no","yes")</f>
        <v>yes</v>
      </c>
      <c r="AC293" s="44" t="str">
        <f>IF(AC291&lt;AC292,"no","yes")</f>
        <v>yes</v>
      </c>
      <c r="AD293" s="44" t="str">
        <f>IF(AD291&lt;AD292,"no","yes")</f>
        <v>yes</v>
      </c>
      <c r="AE293" s="44" t="str">
        <f>IF(AE291&lt;AE292,"no","yes")</f>
        <v>yes</v>
      </c>
      <c r="BJ293">
        <v>1</v>
      </c>
      <c r="BK293">
        <v>44</v>
      </c>
      <c r="BL293" t="s">
        <v>11</v>
      </c>
      <c r="BM293">
        <v>1</v>
      </c>
      <c r="BN293">
        <v>19.3</v>
      </c>
      <c r="BO293">
        <v>19.3</v>
      </c>
    </row>
    <row r="294" spans="1:67">
      <c r="A294">
        <v>16</v>
      </c>
      <c r="B294" t="s">
        <v>124</v>
      </c>
      <c r="C294">
        <v>16</v>
      </c>
      <c r="D294">
        <v>1</v>
      </c>
      <c r="E294">
        <v>25</v>
      </c>
      <c r="F294" t="s">
        <v>11</v>
      </c>
      <c r="G294">
        <v>16.7</v>
      </c>
      <c r="H294">
        <v>16.600000000000001</v>
      </c>
      <c r="J294" s="54">
        <v>24.5</v>
      </c>
      <c r="K294">
        <v>21.79</v>
      </c>
      <c r="L294">
        <v>22.83</v>
      </c>
      <c r="M294">
        <v>19.98</v>
      </c>
      <c r="N294" s="55">
        <v>13.39</v>
      </c>
      <c r="S294" t="s">
        <v>129</v>
      </c>
      <c r="T294">
        <f>SUM(J281:J307)</f>
        <v>463.2</v>
      </c>
      <c r="U294">
        <f>SUM(K281:K307)</f>
        <v>827.9799999999999</v>
      </c>
      <c r="V294">
        <f>SUM(L281:L307)</f>
        <v>634.13</v>
      </c>
      <c r="W294">
        <f>SUM(M281:M307)</f>
        <v>531.20000000000005</v>
      </c>
      <c r="X294">
        <f>SUM(N281:N307)</f>
        <v>557.54</v>
      </c>
      <c r="BJ294">
        <v>1</v>
      </c>
      <c r="BK294">
        <v>25</v>
      </c>
      <c r="BL294" t="s">
        <v>11</v>
      </c>
      <c r="BM294">
        <v>1</v>
      </c>
      <c r="BN294">
        <v>16.600000000000001</v>
      </c>
      <c r="BO294">
        <v>16.600000000000001</v>
      </c>
    </row>
    <row r="295" spans="1:67">
      <c r="A295">
        <v>17</v>
      </c>
      <c r="B295" t="s">
        <v>128</v>
      </c>
      <c r="C295">
        <v>17</v>
      </c>
      <c r="D295">
        <v>2</v>
      </c>
      <c r="E295">
        <v>61</v>
      </c>
      <c r="F295" t="s">
        <v>11</v>
      </c>
      <c r="G295">
        <v>21.5</v>
      </c>
      <c r="H295">
        <v>21.5</v>
      </c>
      <c r="J295" s="54">
        <v>20.399999999999999</v>
      </c>
      <c r="K295">
        <v>23.85</v>
      </c>
      <c r="L295">
        <v>20.350000000000001</v>
      </c>
      <c r="M295">
        <v>15.68</v>
      </c>
      <c r="N295" s="55">
        <v>33.1</v>
      </c>
      <c r="S295" t="s">
        <v>116</v>
      </c>
      <c r="T295">
        <f>COUNT(J281:J307)</f>
        <v>27</v>
      </c>
      <c r="U295">
        <f>COUNT(K281:K307)</f>
        <v>27</v>
      </c>
      <c r="V295">
        <f>COUNT(L281:L307)</f>
        <v>27</v>
      </c>
      <c r="W295">
        <f>COUNT(M281:M307)</f>
        <v>27</v>
      </c>
      <c r="X295">
        <f>COUNT(N281:N307)</f>
        <v>27</v>
      </c>
      <c r="BJ295">
        <v>2</v>
      </c>
      <c r="BK295">
        <v>61</v>
      </c>
      <c r="BL295" t="s">
        <v>11</v>
      </c>
      <c r="BM295">
        <v>2</v>
      </c>
      <c r="BN295">
        <v>21.5</v>
      </c>
      <c r="BO295">
        <v>21.5</v>
      </c>
    </row>
    <row r="296" spans="1:67" ht="15.75" thickBot="1">
      <c r="A296">
        <v>18</v>
      </c>
      <c r="B296" t="s">
        <v>134</v>
      </c>
      <c r="C296">
        <v>18</v>
      </c>
      <c r="D296">
        <v>1</v>
      </c>
      <c r="E296">
        <v>39</v>
      </c>
      <c r="F296" t="s">
        <v>11</v>
      </c>
      <c r="G296">
        <v>22.4</v>
      </c>
      <c r="H296">
        <v>21</v>
      </c>
      <c r="J296" s="54">
        <v>16.7</v>
      </c>
      <c r="K296">
        <v>21.24</v>
      </c>
      <c r="L296">
        <v>15.67</v>
      </c>
      <c r="M296">
        <v>4.4800000000000004</v>
      </c>
      <c r="N296" s="55">
        <v>21.67</v>
      </c>
      <c r="S296" t="s">
        <v>296</v>
      </c>
      <c r="T296">
        <f>GEOMEAN(J281:J307)</f>
        <v>15.423010185146225</v>
      </c>
      <c r="U296">
        <f>GEOMEAN(K281:K307)</f>
        <v>29.729952910970166</v>
      </c>
      <c r="V296">
        <f>GEOMEAN(L281:L307)</f>
        <v>21.541666347997221</v>
      </c>
      <c r="W296">
        <f>GEOMEAN(M281:M307)</f>
        <v>17.862973393879365</v>
      </c>
      <c r="X296">
        <f>GEOMEAN(N281:N307)</f>
        <v>17.487937450961876</v>
      </c>
      <c r="Z296" t="s">
        <v>297</v>
      </c>
      <c r="AC296" t="s">
        <v>286</v>
      </c>
      <c r="AD296">
        <v>0.05</v>
      </c>
      <c r="BJ296">
        <v>1</v>
      </c>
      <c r="BK296">
        <v>39</v>
      </c>
      <c r="BL296" t="s">
        <v>11</v>
      </c>
      <c r="BM296">
        <v>1</v>
      </c>
      <c r="BN296">
        <v>21</v>
      </c>
      <c r="BO296">
        <v>21</v>
      </c>
    </row>
    <row r="297" spans="1:67" ht="15.75" thickTop="1">
      <c r="A297">
        <v>19</v>
      </c>
      <c r="B297" t="s">
        <v>139</v>
      </c>
      <c r="C297">
        <v>19</v>
      </c>
      <c r="D297">
        <v>2</v>
      </c>
      <c r="E297">
        <v>25</v>
      </c>
      <c r="F297" t="s">
        <v>11</v>
      </c>
      <c r="G297">
        <v>16.100000000000001</v>
      </c>
      <c r="H297">
        <v>15.9</v>
      </c>
      <c r="J297" s="54">
        <v>21.5</v>
      </c>
      <c r="K297">
        <v>32.19</v>
      </c>
      <c r="L297">
        <v>7.96</v>
      </c>
      <c r="M297">
        <v>33.17</v>
      </c>
      <c r="N297" s="55">
        <v>29.94</v>
      </c>
      <c r="S297" t="s">
        <v>298</v>
      </c>
      <c r="T297">
        <f>HARMEAN(J281:J307)</f>
        <v>8.4829531575220631</v>
      </c>
      <c r="U297">
        <f>HARMEAN(K281:K307)</f>
        <v>28.805970051937752</v>
      </c>
      <c r="V297">
        <f>HARMEAN(L281:L307)</f>
        <v>18.543107914937803</v>
      </c>
      <c r="W297">
        <f>HARMEAN(M281:M307)</f>
        <v>15.678953557300522</v>
      </c>
      <c r="X297">
        <f>HARMEAN(N281:N307)</f>
        <v>12.995919183626192</v>
      </c>
      <c r="Z297" s="59" t="s">
        <v>299</v>
      </c>
      <c r="AA297" s="59" t="s">
        <v>47</v>
      </c>
      <c r="AB297" s="59" t="s">
        <v>3</v>
      </c>
      <c r="AC297" s="59" t="s">
        <v>300</v>
      </c>
      <c r="AD297" s="59" t="s">
        <v>76</v>
      </c>
      <c r="AE297" s="59" t="s">
        <v>301</v>
      </c>
      <c r="BJ297">
        <v>2</v>
      </c>
      <c r="BK297">
        <v>25</v>
      </c>
      <c r="BL297" t="s">
        <v>11</v>
      </c>
      <c r="BM297">
        <v>2</v>
      </c>
      <c r="BN297">
        <v>15.9</v>
      </c>
      <c r="BO297">
        <v>15.9</v>
      </c>
    </row>
    <row r="298" spans="1:67">
      <c r="A298">
        <v>20</v>
      </c>
      <c r="B298" t="s">
        <v>140</v>
      </c>
      <c r="C298">
        <v>20</v>
      </c>
      <c r="D298">
        <v>2</v>
      </c>
      <c r="E298">
        <v>21</v>
      </c>
      <c r="F298" t="s">
        <v>11</v>
      </c>
      <c r="G298">
        <v>0.6</v>
      </c>
      <c r="H298">
        <v>9.5</v>
      </c>
      <c r="J298" s="54">
        <v>22.4</v>
      </c>
      <c r="K298">
        <v>22.66</v>
      </c>
      <c r="L298">
        <v>22.96</v>
      </c>
      <c r="M298">
        <v>27.64</v>
      </c>
      <c r="N298" s="55">
        <v>27.89</v>
      </c>
      <c r="S298" t="s">
        <v>302</v>
      </c>
      <c r="T298">
        <f>AVEDEV(J281:J307)</f>
        <v>3.2905349794238679</v>
      </c>
      <c r="U298">
        <f>AVEDEV(K281:K307)</f>
        <v>6.6061454046639234</v>
      </c>
      <c r="V298">
        <f>AVEDEV(L281:L307)</f>
        <v>6.0107818930041166</v>
      </c>
      <c r="W298">
        <f>AVEDEV(M281:M307)</f>
        <v>6.49681755829904</v>
      </c>
      <c r="X298">
        <f>AVEDEV(N281:N307)</f>
        <v>8.0885596707818923</v>
      </c>
      <c r="Z298" t="str">
        <f>J280</f>
        <v>I</v>
      </c>
      <c r="AA298">
        <f>AVERAGE(J281:J307)</f>
        <v>17.155555555555555</v>
      </c>
      <c r="AB298">
        <f>COUNT(J281:J307)</f>
        <v>27</v>
      </c>
      <c r="AC298">
        <f>DEVSQ(J281:J307)</f>
        <v>572.98666666666657</v>
      </c>
      <c r="BJ298">
        <v>2</v>
      </c>
      <c r="BK298">
        <v>21</v>
      </c>
      <c r="BL298" t="s">
        <v>11</v>
      </c>
      <c r="BM298">
        <v>2</v>
      </c>
      <c r="BN298">
        <v>9.5</v>
      </c>
      <c r="BO298">
        <v>9.5</v>
      </c>
    </row>
    <row r="299" spans="1:67">
      <c r="A299">
        <v>21</v>
      </c>
      <c r="B299" t="s">
        <v>142</v>
      </c>
      <c r="C299">
        <v>21</v>
      </c>
      <c r="D299">
        <v>2</v>
      </c>
      <c r="E299">
        <v>49</v>
      </c>
      <c r="F299" t="s">
        <v>11</v>
      </c>
      <c r="G299">
        <v>23.1</v>
      </c>
      <c r="H299">
        <v>24.1</v>
      </c>
      <c r="J299" s="54">
        <v>16.100000000000001</v>
      </c>
      <c r="K299">
        <v>21.84</v>
      </c>
      <c r="L299">
        <v>27.89</v>
      </c>
      <c r="M299">
        <v>15.7</v>
      </c>
      <c r="N299" s="55">
        <v>31.99</v>
      </c>
      <c r="S299" t="s">
        <v>303</v>
      </c>
      <c r="T299">
        <f>[1]!MAD(J281:J307)</f>
        <v>2.7999999999999972</v>
      </c>
      <c r="U299">
        <f>[1]!MAD(K281:K307)</f>
        <v>6.66</v>
      </c>
      <c r="V299">
        <f>[1]!MAD(L281:L307)</f>
        <v>3.5399999999999991</v>
      </c>
      <c r="W299">
        <f>[1]!MAD(M281:M307)</f>
        <v>5.740000000000002</v>
      </c>
      <c r="X299">
        <f>[1]!MAD(N281:N307)</f>
        <v>7.3300000000000018</v>
      </c>
      <c r="Z299" t="str">
        <f>K280</f>
        <v>II ALTO</v>
      </c>
      <c r="AA299">
        <f>AVERAGE(K281:K307)</f>
        <v>30.665925925925922</v>
      </c>
      <c r="AB299">
        <f>COUNT(K281:K307)</f>
        <v>27</v>
      </c>
      <c r="AC299">
        <f>DEVSQ(K281:K307)</f>
        <v>1544.2000518518519</v>
      </c>
      <c r="BJ299">
        <v>2</v>
      </c>
      <c r="BK299">
        <v>49</v>
      </c>
      <c r="BL299" t="s">
        <v>11</v>
      </c>
      <c r="BM299">
        <v>2</v>
      </c>
      <c r="BN299">
        <v>24.1</v>
      </c>
      <c r="BO299">
        <v>24.1</v>
      </c>
    </row>
    <row r="300" spans="1:67">
      <c r="A300">
        <v>22</v>
      </c>
      <c r="B300" t="s">
        <v>145</v>
      </c>
      <c r="C300">
        <v>22</v>
      </c>
      <c r="D300">
        <v>1</v>
      </c>
      <c r="E300">
        <v>41</v>
      </c>
      <c r="F300" t="s">
        <v>11</v>
      </c>
      <c r="G300">
        <v>14.4</v>
      </c>
      <c r="H300">
        <v>14.7</v>
      </c>
      <c r="J300" s="54">
        <v>0.6</v>
      </c>
      <c r="K300">
        <v>28.89</v>
      </c>
      <c r="L300">
        <v>16.25</v>
      </c>
      <c r="M300">
        <v>11.46</v>
      </c>
      <c r="N300" s="55">
        <v>32.96</v>
      </c>
      <c r="S300" s="41" t="s">
        <v>9</v>
      </c>
      <c r="T300" s="41">
        <f>[1]!IQR(J281:J307,FALSE)</f>
        <v>5.3000000000000007</v>
      </c>
      <c r="U300" s="41">
        <f>[1]!IQR(K281:K307,FALSE)</f>
        <v>12.530000000000005</v>
      </c>
      <c r="V300" s="41">
        <f>[1]!IQR(L281:L307,FALSE)</f>
        <v>8.4350000000000023</v>
      </c>
      <c r="W300" s="41">
        <f>[1]!IQR(M281:M307,FALSE)</f>
        <v>9.9550000000000018</v>
      </c>
      <c r="X300" s="41">
        <f>[1]!IQR(N281:N307,FALSE)</f>
        <v>13.945</v>
      </c>
      <c r="Z300" t="str">
        <f>L280</f>
        <v>II BAJO</v>
      </c>
      <c r="AA300">
        <f>AVERAGE(L281:L307)</f>
        <v>23.486296296296295</v>
      </c>
      <c r="AB300">
        <f>COUNT(L281:L307)</f>
        <v>27</v>
      </c>
      <c r="AC300">
        <f>DEVSQ(L281:L307)</f>
        <v>1736.8142296296298</v>
      </c>
      <c r="BJ300">
        <v>1</v>
      </c>
      <c r="BK300">
        <v>41</v>
      </c>
      <c r="BL300" t="s">
        <v>11</v>
      </c>
      <c r="BM300">
        <v>1</v>
      </c>
      <c r="BN300">
        <v>14.7</v>
      </c>
      <c r="BO300">
        <v>14.7</v>
      </c>
    </row>
    <row r="301" spans="1:67">
      <c r="A301">
        <v>23</v>
      </c>
      <c r="B301" t="s">
        <v>150</v>
      </c>
      <c r="C301">
        <v>23</v>
      </c>
      <c r="D301">
        <v>1</v>
      </c>
      <c r="E301">
        <v>56</v>
      </c>
      <c r="F301" t="s">
        <v>11</v>
      </c>
      <c r="G301">
        <v>16.3</v>
      </c>
      <c r="H301">
        <v>16.899999999999999</v>
      </c>
      <c r="J301" s="54">
        <v>23.1</v>
      </c>
      <c r="K301">
        <v>33.89</v>
      </c>
      <c r="L301">
        <v>26.19</v>
      </c>
      <c r="M301">
        <v>16.61</v>
      </c>
      <c r="N301" s="55">
        <v>8.9</v>
      </c>
      <c r="Z301" t="str">
        <f>M280</f>
        <v>III ALTO</v>
      </c>
      <c r="AA301">
        <f>AVERAGE(M281:M307)</f>
        <v>19.674074074074074</v>
      </c>
      <c r="AB301">
        <f>COUNT(M281:M307)</f>
        <v>27</v>
      </c>
      <c r="AC301">
        <f>DEVSQ(M281:M307)</f>
        <v>1615.0658518518521</v>
      </c>
      <c r="BJ301">
        <v>1</v>
      </c>
      <c r="BK301">
        <v>56</v>
      </c>
      <c r="BL301" t="s">
        <v>11</v>
      </c>
      <c r="BM301">
        <v>1</v>
      </c>
      <c r="BN301">
        <v>16.899999999999999</v>
      </c>
      <c r="BO301">
        <v>16.899999999999999</v>
      </c>
    </row>
    <row r="302" spans="1:67">
      <c r="A302">
        <v>24</v>
      </c>
      <c r="B302" t="s">
        <v>152</v>
      </c>
      <c r="C302">
        <v>24</v>
      </c>
      <c r="D302">
        <v>1</v>
      </c>
      <c r="E302">
        <v>31</v>
      </c>
      <c r="F302" t="s">
        <v>11</v>
      </c>
      <c r="G302">
        <v>15.2</v>
      </c>
      <c r="H302">
        <v>14.9</v>
      </c>
      <c r="J302" s="54">
        <v>14.4</v>
      </c>
      <c r="K302">
        <v>36.15</v>
      </c>
      <c r="L302">
        <v>40.17</v>
      </c>
      <c r="M302">
        <v>22.13</v>
      </c>
      <c r="N302" s="55">
        <v>12.52</v>
      </c>
      <c r="Z302" t="str">
        <f>N280</f>
        <v>III BAJO</v>
      </c>
      <c r="AA302">
        <f>AVERAGE(N281:N307)</f>
        <v>20.649629629629629</v>
      </c>
      <c r="AB302">
        <f>COUNT(N281:N307)</f>
        <v>27</v>
      </c>
      <c r="AC302">
        <f>DEVSQ(N281:N307)</f>
        <v>2339.126496296296</v>
      </c>
      <c r="BJ302">
        <v>1</v>
      </c>
      <c r="BK302">
        <v>31</v>
      </c>
      <c r="BL302" t="s">
        <v>11</v>
      </c>
      <c r="BM302">
        <v>1</v>
      </c>
      <c r="BN302">
        <v>14.9</v>
      </c>
      <c r="BO302">
        <v>14.9</v>
      </c>
    </row>
    <row r="303" spans="1:67">
      <c r="A303">
        <v>25</v>
      </c>
      <c r="B303" t="s">
        <v>153</v>
      </c>
      <c r="C303">
        <v>25</v>
      </c>
      <c r="D303">
        <v>2</v>
      </c>
      <c r="E303">
        <v>52</v>
      </c>
      <c r="F303" t="s">
        <v>11</v>
      </c>
      <c r="G303">
        <v>18.3</v>
      </c>
      <c r="H303">
        <v>19</v>
      </c>
      <c r="J303" s="54">
        <v>16.3</v>
      </c>
      <c r="K303">
        <v>39.549999999999997</v>
      </c>
      <c r="L303">
        <v>26.55</v>
      </c>
      <c r="M303">
        <v>23.95</v>
      </c>
      <c r="N303" s="55">
        <v>32.85</v>
      </c>
      <c r="Z303" s="45"/>
      <c r="AA303" s="45"/>
      <c r="AB303" s="45">
        <f>SUM(AB298:AB302)</f>
        <v>135</v>
      </c>
      <c r="AC303" s="45">
        <f>SUM(AC298:AC302)</f>
        <v>7808.1932962962965</v>
      </c>
      <c r="AD303" s="45">
        <f>AB303-COUNT(AB298:AB302)</f>
        <v>130</v>
      </c>
      <c r="AE303" s="45">
        <f>[1]!QCRIT(COUNT(AB298:AB302),AD303,AD296,2)</f>
        <v>3.9123846153846151</v>
      </c>
      <c r="BJ303">
        <v>2</v>
      </c>
      <c r="BK303">
        <v>52</v>
      </c>
      <c r="BL303" t="s">
        <v>11</v>
      </c>
      <c r="BM303">
        <v>2</v>
      </c>
      <c r="BN303">
        <v>19</v>
      </c>
      <c r="BO303">
        <v>19</v>
      </c>
    </row>
    <row r="304" spans="1:67" ht="15.75" thickBot="1">
      <c r="A304">
        <v>26</v>
      </c>
      <c r="B304" t="s">
        <v>159</v>
      </c>
      <c r="C304">
        <v>26</v>
      </c>
      <c r="D304">
        <v>2</v>
      </c>
      <c r="E304">
        <v>22</v>
      </c>
      <c r="F304" t="s">
        <v>11</v>
      </c>
      <c r="G304">
        <v>15.5</v>
      </c>
      <c r="H304">
        <v>15</v>
      </c>
      <c r="J304" s="54">
        <v>15.2</v>
      </c>
      <c r="K304">
        <v>25.81</v>
      </c>
      <c r="L304">
        <v>23.54</v>
      </c>
      <c r="M304">
        <v>19.28</v>
      </c>
      <c r="N304" s="55">
        <v>28.43</v>
      </c>
      <c r="Z304" t="s">
        <v>304</v>
      </c>
      <c r="BJ304">
        <v>2</v>
      </c>
      <c r="BK304">
        <v>22</v>
      </c>
      <c r="BL304" t="s">
        <v>11</v>
      </c>
      <c r="BM304">
        <v>2</v>
      </c>
      <c r="BN304">
        <v>15</v>
      </c>
      <c r="BO304">
        <v>15</v>
      </c>
    </row>
    <row r="305" spans="1:67" ht="15.75" thickTop="1">
      <c r="A305">
        <v>27</v>
      </c>
      <c r="B305" t="s">
        <v>163</v>
      </c>
      <c r="C305">
        <v>27</v>
      </c>
      <c r="D305">
        <v>1</v>
      </c>
      <c r="E305">
        <v>45</v>
      </c>
      <c r="F305" t="s">
        <v>11</v>
      </c>
      <c r="G305">
        <v>10.5</v>
      </c>
      <c r="H305">
        <v>9.5</v>
      </c>
      <c r="J305" s="54">
        <v>18.3</v>
      </c>
      <c r="K305">
        <v>27.64</v>
      </c>
      <c r="L305">
        <v>23.19</v>
      </c>
      <c r="M305">
        <v>27.47</v>
      </c>
      <c r="N305" s="55">
        <v>30.12</v>
      </c>
      <c r="Z305" s="59" t="s">
        <v>45</v>
      </c>
      <c r="AA305" s="59" t="s">
        <v>46</v>
      </c>
      <c r="AB305" s="59" t="s">
        <v>47</v>
      </c>
      <c r="AC305" s="59" t="s">
        <v>305</v>
      </c>
      <c r="AD305" s="59" t="s">
        <v>306</v>
      </c>
      <c r="AE305" s="59" t="s">
        <v>158</v>
      </c>
      <c r="AF305" s="59" t="s">
        <v>162</v>
      </c>
      <c r="AG305" s="59" t="s">
        <v>23</v>
      </c>
      <c r="AH305" s="59" t="s">
        <v>307</v>
      </c>
      <c r="AI305" s="59" t="s">
        <v>308</v>
      </c>
      <c r="BJ305">
        <v>1</v>
      </c>
      <c r="BK305">
        <v>45</v>
      </c>
      <c r="BL305" t="s">
        <v>11</v>
      </c>
      <c r="BM305">
        <v>1</v>
      </c>
      <c r="BN305">
        <v>9.5</v>
      </c>
      <c r="BO305">
        <v>9.5</v>
      </c>
    </row>
    <row r="306" spans="1:67">
      <c r="A306">
        <v>1</v>
      </c>
      <c r="B306" t="s">
        <v>166</v>
      </c>
      <c r="C306">
        <v>28</v>
      </c>
      <c r="D306">
        <v>2</v>
      </c>
      <c r="E306">
        <v>25</v>
      </c>
      <c r="F306" t="s">
        <v>12</v>
      </c>
      <c r="G306">
        <v>26.56</v>
      </c>
      <c r="H306">
        <v>24.3</v>
      </c>
      <c r="J306" s="54">
        <v>15.5</v>
      </c>
      <c r="K306">
        <v>29.49</v>
      </c>
      <c r="L306">
        <v>28.43</v>
      </c>
      <c r="M306">
        <v>11.31</v>
      </c>
      <c r="N306" s="55">
        <v>26.43</v>
      </c>
      <c r="Z306" s="45" t="str">
        <f>Z298</f>
        <v>I</v>
      </c>
      <c r="AA306" s="45" t="str">
        <f>Z299</f>
        <v>II ALTO</v>
      </c>
      <c r="AB306" s="45">
        <f>ABS(AA298-AA299)</f>
        <v>13.510370370370367</v>
      </c>
      <c r="AC306" s="45">
        <f>SQRT(AC303/AD303/HARMEAN(AB298,AB299))</f>
        <v>1.4914947182847513</v>
      </c>
      <c r="AD306" s="45">
        <f t="shared" ref="AD306:AD315" si="11">AB306/AC306</f>
        <v>9.0582757047289864</v>
      </c>
      <c r="AE306" s="45">
        <f t="shared" ref="AE306:AE315" si="12">AB306-AC306*AE$303</f>
        <v>7.6750693806256951</v>
      </c>
      <c r="AF306" s="45">
        <f t="shared" ref="AF306:AF315" si="13">AB306+AC306*AE$303</f>
        <v>19.345671360115041</v>
      </c>
      <c r="AG306" s="45">
        <f>[1]!QDIST(AD306,COUNT($AB$298:$AB$302),AD$303)</f>
        <v>2.5115065693803729E-8</v>
      </c>
      <c r="AH306" s="45">
        <f t="shared" ref="AH306:AH315" si="14">AC306*AE$303</f>
        <v>5.8353009897446722</v>
      </c>
      <c r="AI306" s="45">
        <f t="shared" ref="AI306:AI315" si="15">AB306*SQRT(AD$303/AC$303)</f>
        <v>1.7432659721730426</v>
      </c>
      <c r="BJ306">
        <v>2</v>
      </c>
      <c r="BK306">
        <v>25</v>
      </c>
      <c r="BL306" t="s">
        <v>12</v>
      </c>
      <c r="BM306">
        <v>2</v>
      </c>
      <c r="BN306">
        <v>24.3</v>
      </c>
      <c r="BO306">
        <v>24.3</v>
      </c>
    </row>
    <row r="307" spans="1:67">
      <c r="A307">
        <v>2</v>
      </c>
      <c r="B307" t="s">
        <v>168</v>
      </c>
      <c r="C307">
        <v>29</v>
      </c>
      <c r="D307">
        <v>2</v>
      </c>
      <c r="E307">
        <v>18</v>
      </c>
      <c r="F307" t="s">
        <v>12</v>
      </c>
      <c r="G307">
        <v>33.4</v>
      </c>
      <c r="H307">
        <v>39.03</v>
      </c>
      <c r="J307" s="56">
        <v>10.5</v>
      </c>
      <c r="K307" s="57">
        <v>24.58</v>
      </c>
      <c r="L307" s="57">
        <v>30.61</v>
      </c>
      <c r="M307" s="57">
        <v>8.26</v>
      </c>
      <c r="N307" s="58">
        <v>26.48</v>
      </c>
      <c r="Z307" t="str">
        <f>Z298</f>
        <v>I</v>
      </c>
      <c r="AA307" t="str">
        <f>Z300</f>
        <v>II BAJO</v>
      </c>
      <c r="AB307">
        <f>ABS(AA298-AA300)</f>
        <v>6.3307407407407403</v>
      </c>
      <c r="AC307">
        <f>SQRT(AC303/AD303/HARMEAN(AB298,AB300))</f>
        <v>1.4914947182847513</v>
      </c>
      <c r="AD307">
        <f t="shared" si="11"/>
        <v>4.2445612868285707</v>
      </c>
      <c r="AE307">
        <f t="shared" si="12"/>
        <v>0.49543975099606818</v>
      </c>
      <c r="AF307">
        <f t="shared" si="13"/>
        <v>12.166041730485412</v>
      </c>
      <c r="AG307">
        <f>[1]!QDIST(AD307,COUNT($AB$298:$AB$302),AD$303)</f>
        <v>2.628469004345324E-2</v>
      </c>
      <c r="AH307">
        <f t="shared" si="14"/>
        <v>5.8353009897446722</v>
      </c>
      <c r="AI307">
        <f t="shared" si="15"/>
        <v>0.81686620051411318</v>
      </c>
      <c r="BJ307">
        <v>2</v>
      </c>
      <c r="BK307">
        <v>18</v>
      </c>
      <c r="BL307" t="s">
        <v>12</v>
      </c>
      <c r="BM307">
        <v>2</v>
      </c>
      <c r="BN307">
        <v>39.03</v>
      </c>
      <c r="BO307">
        <v>39.03</v>
      </c>
    </row>
    <row r="308" spans="1:67">
      <c r="A308">
        <v>3</v>
      </c>
      <c r="B308" t="s">
        <v>169</v>
      </c>
      <c r="C308">
        <v>30</v>
      </c>
      <c r="D308">
        <v>2</v>
      </c>
      <c r="E308">
        <v>26</v>
      </c>
      <c r="F308" t="s">
        <v>12</v>
      </c>
      <c r="G308">
        <v>43.01</v>
      </c>
      <c r="H308">
        <v>33.4</v>
      </c>
      <c r="Z308" t="str">
        <f>Z298</f>
        <v>I</v>
      </c>
      <c r="AA308" t="str">
        <f>Z301</f>
        <v>III ALTO</v>
      </c>
      <c r="AB308">
        <f>ABS(AA298-AA301)</f>
        <v>2.518518518518519</v>
      </c>
      <c r="AC308">
        <f>SQRT(AC303/AD303/HARMEAN(AB298,AB301))</f>
        <v>1.4914947182847513</v>
      </c>
      <c r="AD308">
        <f t="shared" si="11"/>
        <v>1.6885869508239799</v>
      </c>
      <c r="AE308">
        <f t="shared" si="12"/>
        <v>-3.3167824712261531</v>
      </c>
      <c r="AF308">
        <f t="shared" si="13"/>
        <v>8.3538195082631912</v>
      </c>
      <c r="AG308">
        <f>[1]!QDIST(AD308,COUNT($AB$298:$AB$302),AD$303)</f>
        <v>0.75481641016079248</v>
      </c>
      <c r="AH308">
        <f t="shared" si="14"/>
        <v>5.8353009897446722</v>
      </c>
      <c r="AI308">
        <f t="shared" si="15"/>
        <v>0.3249687102027714</v>
      </c>
      <c r="BJ308">
        <v>2</v>
      </c>
      <c r="BK308">
        <v>26</v>
      </c>
      <c r="BL308" t="s">
        <v>12</v>
      </c>
      <c r="BM308">
        <v>2</v>
      </c>
      <c r="BN308">
        <v>33.4</v>
      </c>
      <c r="BO308">
        <v>33.4</v>
      </c>
    </row>
    <row r="309" spans="1:67">
      <c r="A309">
        <v>4</v>
      </c>
      <c r="B309" t="s">
        <v>170</v>
      </c>
      <c r="C309">
        <v>31</v>
      </c>
      <c r="D309">
        <v>2</v>
      </c>
      <c r="E309">
        <v>47</v>
      </c>
      <c r="F309" t="s">
        <v>12</v>
      </c>
      <c r="G309">
        <v>38.340000000000003</v>
      </c>
      <c r="H309">
        <v>38.19</v>
      </c>
      <c r="Z309" t="str">
        <f>Z298</f>
        <v>I</v>
      </c>
      <c r="AA309" t="str">
        <f>Z302</f>
        <v>III BAJO</v>
      </c>
      <c r="AB309">
        <f>ABS(AA298-AA302)</f>
        <v>3.4940740740740743</v>
      </c>
      <c r="AC309">
        <f>SQRT(AC303/AD303/HARMEAN(AB298,AB302))</f>
        <v>1.4914947182847513</v>
      </c>
      <c r="AD309">
        <f t="shared" si="11"/>
        <v>2.3426660726578565</v>
      </c>
      <c r="AE309">
        <f t="shared" si="12"/>
        <v>-2.3412269156705978</v>
      </c>
      <c r="AF309">
        <f t="shared" si="13"/>
        <v>9.3293750638187465</v>
      </c>
      <c r="AG309">
        <f>[1]!QDIST(AD309,COUNT($AB$298:$AB$302),AD$303)</f>
        <v>0.46446169049251651</v>
      </c>
      <c r="AH309">
        <f t="shared" si="14"/>
        <v>5.8353009897446722</v>
      </c>
      <c r="AI309">
        <f t="shared" si="15"/>
        <v>0.45084629589013897</v>
      </c>
      <c r="BJ309">
        <v>2</v>
      </c>
      <c r="BK309">
        <v>47</v>
      </c>
      <c r="BL309" t="s">
        <v>12</v>
      </c>
      <c r="BM309">
        <v>2</v>
      </c>
      <c r="BN309">
        <v>38.19</v>
      </c>
      <c r="BO309">
        <v>38.19</v>
      </c>
    </row>
    <row r="310" spans="1:67">
      <c r="A310">
        <v>5</v>
      </c>
      <c r="B310" t="s">
        <v>172</v>
      </c>
      <c r="C310">
        <v>32</v>
      </c>
      <c r="D310">
        <v>2</v>
      </c>
      <c r="E310">
        <v>31</v>
      </c>
      <c r="F310" t="s">
        <v>12</v>
      </c>
      <c r="G310">
        <v>35.549999999999997</v>
      </c>
      <c r="H310">
        <v>27.5</v>
      </c>
      <c r="Z310" t="str">
        <f>Z299</f>
        <v>II ALTO</v>
      </c>
      <c r="AA310" t="str">
        <f>Z300</f>
        <v>II BAJO</v>
      </c>
      <c r="AB310">
        <f>ABS(AA299-AA300)</f>
        <v>7.1796296296296269</v>
      </c>
      <c r="AC310">
        <f>SQRT(AC303/AD303/HARMEAN(AB299,AB300))</f>
        <v>1.4914947182847513</v>
      </c>
      <c r="AD310">
        <f t="shared" si="11"/>
        <v>4.8137144179004165</v>
      </c>
      <c r="AE310">
        <f t="shared" si="12"/>
        <v>1.3443286398849548</v>
      </c>
      <c r="AF310">
        <f t="shared" si="13"/>
        <v>13.014930619374299</v>
      </c>
      <c r="AG310">
        <f>[1]!QDIST(AD310,COUNT($AB$298:$AB$302),AD$303)</f>
        <v>7.7491979698527391E-3</v>
      </c>
      <c r="AH310">
        <f t="shared" si="14"/>
        <v>5.8353009897446722</v>
      </c>
      <c r="AI310">
        <f t="shared" si="15"/>
        <v>0.92639977165892939</v>
      </c>
      <c r="BJ310">
        <v>2</v>
      </c>
      <c r="BK310">
        <v>31</v>
      </c>
      <c r="BL310" t="s">
        <v>12</v>
      </c>
      <c r="BM310">
        <v>2</v>
      </c>
      <c r="BN310">
        <v>27.5</v>
      </c>
      <c r="BO310">
        <v>27.5</v>
      </c>
    </row>
    <row r="311" spans="1:67">
      <c r="A311">
        <v>6</v>
      </c>
      <c r="B311" t="s">
        <v>173</v>
      </c>
      <c r="C311">
        <v>33</v>
      </c>
      <c r="D311">
        <v>2</v>
      </c>
      <c r="E311">
        <v>36</v>
      </c>
      <c r="F311" t="s">
        <v>12</v>
      </c>
      <c r="G311">
        <v>26.82</v>
      </c>
      <c r="H311">
        <v>24.88</v>
      </c>
      <c r="Z311" t="str">
        <f>Z299</f>
        <v>II ALTO</v>
      </c>
      <c r="AA311" t="str">
        <f>Z301</f>
        <v>III ALTO</v>
      </c>
      <c r="AB311">
        <f>ABS(AA299-AA301)</f>
        <v>10.991851851851848</v>
      </c>
      <c r="AC311">
        <f>SQRT(AC303/AD303/HARMEAN(AB299,AB301))</f>
        <v>1.4914947182847513</v>
      </c>
      <c r="AD311">
        <f t="shared" si="11"/>
        <v>7.3696887539050069</v>
      </c>
      <c r="AE311">
        <f t="shared" si="12"/>
        <v>5.1565508621071761</v>
      </c>
      <c r="AF311">
        <f t="shared" si="13"/>
        <v>16.827152841596522</v>
      </c>
      <c r="AG311">
        <f>[1]!QDIST(AD311,COUNT($AB$298:$AB$302),AD$303)</f>
        <v>7.0597256485172011E-6</v>
      </c>
      <c r="AH311">
        <f t="shared" si="14"/>
        <v>5.8353009897446722</v>
      </c>
      <c r="AI311">
        <f t="shared" si="15"/>
        <v>1.4182972619702712</v>
      </c>
      <c r="BJ311">
        <v>2</v>
      </c>
      <c r="BK311">
        <v>36</v>
      </c>
      <c r="BL311" t="s">
        <v>12</v>
      </c>
      <c r="BM311">
        <v>2</v>
      </c>
      <c r="BN311">
        <v>24.88</v>
      </c>
      <c r="BO311">
        <v>24.88</v>
      </c>
    </row>
    <row r="312" spans="1:67">
      <c r="A312">
        <v>7</v>
      </c>
      <c r="B312" t="s">
        <v>174</v>
      </c>
      <c r="C312">
        <v>34</v>
      </c>
      <c r="D312">
        <v>2</v>
      </c>
      <c r="E312">
        <v>59</v>
      </c>
      <c r="F312" t="s">
        <v>12</v>
      </c>
      <c r="G312">
        <v>18.079999999999998</v>
      </c>
      <c r="H312">
        <v>32.909999999999997</v>
      </c>
      <c r="Z312" t="str">
        <f>Z299</f>
        <v>II ALTO</v>
      </c>
      <c r="AA312" t="str">
        <f>Z302</f>
        <v>III BAJO</v>
      </c>
      <c r="AB312">
        <f>ABS(AA299-AA302)</f>
        <v>10.016296296296293</v>
      </c>
      <c r="AC312">
        <f>SQRT(AC303/AD303/HARMEAN(AB299,AB302))</f>
        <v>1.4914947182847513</v>
      </c>
      <c r="AD312">
        <f t="shared" si="11"/>
        <v>6.7156096320711303</v>
      </c>
      <c r="AE312">
        <f t="shared" si="12"/>
        <v>4.1809953065516208</v>
      </c>
      <c r="AF312">
        <f t="shared" si="13"/>
        <v>15.851597286040965</v>
      </c>
      <c r="AG312">
        <f>[1]!QDIST(AD312,COUNT($AB$298:$AB$302),AD$303)</f>
        <v>5.183634151384453E-5</v>
      </c>
      <c r="AH312">
        <f t="shared" si="14"/>
        <v>5.8353009897446722</v>
      </c>
      <c r="AI312">
        <f t="shared" si="15"/>
        <v>1.2924196762829037</v>
      </c>
      <c r="BJ312">
        <v>2</v>
      </c>
      <c r="BK312">
        <v>59</v>
      </c>
      <c r="BL312" t="s">
        <v>12</v>
      </c>
      <c r="BM312">
        <v>2</v>
      </c>
      <c r="BN312">
        <v>32.909999999999997</v>
      </c>
      <c r="BO312">
        <v>32.909999999999997</v>
      </c>
    </row>
    <row r="313" spans="1:67" ht="15.75" thickBot="1">
      <c r="A313">
        <v>8</v>
      </c>
      <c r="B313" t="s">
        <v>177</v>
      </c>
      <c r="C313">
        <v>35</v>
      </c>
      <c r="D313">
        <v>2</v>
      </c>
      <c r="E313">
        <v>42</v>
      </c>
      <c r="F313" t="s">
        <v>12</v>
      </c>
      <c r="G313">
        <v>37.770000000000003</v>
      </c>
      <c r="H313">
        <v>16.96</v>
      </c>
      <c r="K313" t="s">
        <v>19</v>
      </c>
      <c r="Z313" t="str">
        <f>Z300</f>
        <v>II BAJO</v>
      </c>
      <c r="AA313" t="str">
        <f>Z301</f>
        <v>III ALTO</v>
      </c>
      <c r="AB313">
        <f>ABS(AA300-AA301)</f>
        <v>3.8122222222222213</v>
      </c>
      <c r="AC313">
        <f>SQRT(AC303/AD303/HARMEAN(AB300,AB301))</f>
        <v>1.4914947182847513</v>
      </c>
      <c r="AD313">
        <f t="shared" si="11"/>
        <v>2.5559743360045908</v>
      </c>
      <c r="AE313">
        <f t="shared" si="12"/>
        <v>-2.0230787675224509</v>
      </c>
      <c r="AF313">
        <f t="shared" si="13"/>
        <v>9.6475232119668934</v>
      </c>
      <c r="AG313">
        <f>[1]!QDIST(AD313,COUNT($AB$298:$AB$302),AD$303)</f>
        <v>0.37380544505407143</v>
      </c>
      <c r="AH313">
        <f t="shared" si="14"/>
        <v>5.8353009897446722</v>
      </c>
      <c r="AI313">
        <f t="shared" si="15"/>
        <v>0.49189749031134183</v>
      </c>
      <c r="BJ313">
        <v>2</v>
      </c>
      <c r="BK313">
        <v>42</v>
      </c>
      <c r="BL313" t="s">
        <v>12</v>
      </c>
      <c r="BM313">
        <v>2</v>
      </c>
      <c r="BN313">
        <v>16.96</v>
      </c>
      <c r="BO313">
        <v>16.96</v>
      </c>
    </row>
    <row r="314" spans="1:67" ht="15.75" thickTop="1">
      <c r="A314">
        <v>9</v>
      </c>
      <c r="B314" t="s">
        <v>178</v>
      </c>
      <c r="C314">
        <v>36</v>
      </c>
      <c r="D314">
        <v>2</v>
      </c>
      <c r="E314">
        <v>56</v>
      </c>
      <c r="F314" t="s">
        <v>12</v>
      </c>
      <c r="G314">
        <v>47.48</v>
      </c>
      <c r="H314">
        <v>27.09</v>
      </c>
      <c r="K314" s="59"/>
      <c r="L314" s="59" t="s">
        <v>23</v>
      </c>
      <c r="Z314" t="str">
        <f>Z300</f>
        <v>II BAJO</v>
      </c>
      <c r="AA314" t="str">
        <f>Z302</f>
        <v>III BAJO</v>
      </c>
      <c r="AB314">
        <f>ABS(AA300-AA302)</f>
        <v>2.836666666666666</v>
      </c>
      <c r="AC314">
        <f>SQRT(AC303/AD303/HARMEAN(AB300,AB302))</f>
        <v>1.4914947182847513</v>
      </c>
      <c r="AD314">
        <f t="shared" si="11"/>
        <v>1.9018952141707142</v>
      </c>
      <c r="AE314">
        <f t="shared" si="12"/>
        <v>-2.9986343230780061</v>
      </c>
      <c r="AF314">
        <f t="shared" si="13"/>
        <v>8.6719676564113382</v>
      </c>
      <c r="AG314">
        <f>[1]!QDIST(AD314,COUNT($AB$298:$AB$302),AD$303)</f>
        <v>0.66377041282548399</v>
      </c>
      <c r="AH314">
        <f t="shared" si="14"/>
        <v>5.8353009897446722</v>
      </c>
      <c r="AI314">
        <f t="shared" si="15"/>
        <v>0.36601990462397427</v>
      </c>
      <c r="BJ314">
        <v>2</v>
      </c>
      <c r="BK314">
        <v>56</v>
      </c>
      <c r="BL314" t="s">
        <v>12</v>
      </c>
      <c r="BM314">
        <v>2</v>
      </c>
      <c r="BN314">
        <v>27.09</v>
      </c>
      <c r="BO314">
        <v>27.09</v>
      </c>
    </row>
    <row r="315" spans="1:67">
      <c r="A315">
        <v>10</v>
      </c>
      <c r="B315" t="s">
        <v>179</v>
      </c>
      <c r="C315">
        <v>37</v>
      </c>
      <c r="D315">
        <v>2</v>
      </c>
      <c r="E315">
        <v>61</v>
      </c>
      <c r="F315" t="s">
        <v>12</v>
      </c>
      <c r="G315">
        <v>39.42</v>
      </c>
      <c r="H315">
        <v>53.56</v>
      </c>
      <c r="K315" t="s">
        <v>27</v>
      </c>
      <c r="L315">
        <v>2.7290289206227669E-7</v>
      </c>
      <c r="Z315" s="41" t="str">
        <f>Z301</f>
        <v>III ALTO</v>
      </c>
      <c r="AA315" s="41" t="str">
        <f>Z302</f>
        <v>III BAJO</v>
      </c>
      <c r="AB315" s="41">
        <f>ABS(AA301-AA302)</f>
        <v>0.97555555555555529</v>
      </c>
      <c r="AC315" s="41">
        <f>SQRT(AC303/AD303/HARMEAN(AB301,AB302))</f>
        <v>1.4914947182847513</v>
      </c>
      <c r="AD315" s="41">
        <f t="shared" si="11"/>
        <v>0.65407912183387662</v>
      </c>
      <c r="AE315" s="41">
        <f t="shared" si="12"/>
        <v>-4.8597454341891169</v>
      </c>
      <c r="AF315" s="41">
        <f t="shared" si="13"/>
        <v>6.8108565453002274</v>
      </c>
      <c r="AG315" s="41">
        <f>[1]!QDIST(AD315,COUNT($AB$298:$AB$302),AD$303)</f>
        <v>0.99049417793848071</v>
      </c>
      <c r="AH315" s="41">
        <f t="shared" si="14"/>
        <v>5.8353009897446722</v>
      </c>
      <c r="AI315" s="41">
        <f t="shared" si="15"/>
        <v>0.12587758568736757</v>
      </c>
      <c r="BJ315">
        <v>2</v>
      </c>
      <c r="BK315">
        <v>61</v>
      </c>
      <c r="BL315" t="s">
        <v>12</v>
      </c>
      <c r="BM315">
        <v>2</v>
      </c>
      <c r="BN315">
        <v>53.56</v>
      </c>
      <c r="BO315">
        <v>53.56</v>
      </c>
    </row>
    <row r="316" spans="1:67">
      <c r="A316">
        <v>11</v>
      </c>
      <c r="B316" t="s">
        <v>180</v>
      </c>
      <c r="C316">
        <v>38</v>
      </c>
      <c r="D316">
        <v>2</v>
      </c>
      <c r="E316">
        <v>42</v>
      </c>
      <c r="F316" t="s">
        <v>12</v>
      </c>
      <c r="G316">
        <v>37.340000000000003</v>
      </c>
      <c r="H316">
        <v>42.08</v>
      </c>
      <c r="K316" t="s">
        <v>31</v>
      </c>
      <c r="L316">
        <v>7.3926304855476133E-8</v>
      </c>
      <c r="BJ316">
        <v>2</v>
      </c>
      <c r="BK316">
        <v>42</v>
      </c>
      <c r="BL316" t="s">
        <v>12</v>
      </c>
      <c r="BM316">
        <v>2</v>
      </c>
      <c r="BN316">
        <v>42.08</v>
      </c>
      <c r="BO316">
        <v>42.08</v>
      </c>
    </row>
    <row r="317" spans="1:67">
      <c r="A317">
        <v>12</v>
      </c>
      <c r="B317" t="s">
        <v>182</v>
      </c>
      <c r="C317">
        <v>39</v>
      </c>
      <c r="D317">
        <v>2</v>
      </c>
      <c r="E317">
        <v>20</v>
      </c>
      <c r="F317" t="s">
        <v>12</v>
      </c>
      <c r="G317">
        <v>20.89</v>
      </c>
      <c r="H317">
        <v>31.79</v>
      </c>
      <c r="K317" t="s">
        <v>35</v>
      </c>
      <c r="L317">
        <v>2.0275686907211821E-8</v>
      </c>
      <c r="BJ317">
        <v>2</v>
      </c>
      <c r="BK317">
        <v>20</v>
      </c>
      <c r="BL317" t="s">
        <v>12</v>
      </c>
      <c r="BM317">
        <v>2</v>
      </c>
      <c r="BN317">
        <v>31.79</v>
      </c>
      <c r="BO317">
        <v>31.79</v>
      </c>
    </row>
    <row r="318" spans="1:67">
      <c r="A318">
        <v>13</v>
      </c>
      <c r="B318" t="s">
        <v>183</v>
      </c>
      <c r="C318">
        <v>40</v>
      </c>
      <c r="D318">
        <v>2</v>
      </c>
      <c r="E318">
        <v>35</v>
      </c>
      <c r="F318" t="s">
        <v>12</v>
      </c>
      <c r="G318">
        <v>33.75</v>
      </c>
      <c r="H318">
        <v>35.869999999999997</v>
      </c>
      <c r="BJ318">
        <v>2</v>
      </c>
      <c r="BK318">
        <v>35</v>
      </c>
      <c r="BL318" t="s">
        <v>12</v>
      </c>
      <c r="BM318">
        <v>2</v>
      </c>
      <c r="BN318">
        <v>35.869999999999997</v>
      </c>
      <c r="BO318">
        <v>35.869999999999997</v>
      </c>
    </row>
    <row r="319" spans="1:67" ht="15.75" thickBot="1">
      <c r="A319">
        <v>14</v>
      </c>
      <c r="B319" t="s">
        <v>184</v>
      </c>
      <c r="C319">
        <v>41</v>
      </c>
      <c r="D319">
        <v>2</v>
      </c>
      <c r="E319">
        <v>35</v>
      </c>
      <c r="F319" t="s">
        <v>12</v>
      </c>
      <c r="G319">
        <v>21.79</v>
      </c>
      <c r="H319">
        <v>20.89</v>
      </c>
      <c r="K319" t="s">
        <v>38</v>
      </c>
      <c r="BJ319">
        <v>2</v>
      </c>
      <c r="BK319">
        <v>35</v>
      </c>
      <c r="BL319" t="s">
        <v>12</v>
      </c>
      <c r="BM319">
        <v>2</v>
      </c>
      <c r="BN319">
        <v>20.89</v>
      </c>
      <c r="BO319">
        <v>20.89</v>
      </c>
    </row>
    <row r="320" spans="1:67" ht="15.75" thickTop="1">
      <c r="A320">
        <v>15</v>
      </c>
      <c r="B320" t="s">
        <v>185</v>
      </c>
      <c r="C320">
        <v>42</v>
      </c>
      <c r="D320">
        <v>2</v>
      </c>
      <c r="E320">
        <v>68</v>
      </c>
      <c r="F320" t="s">
        <v>12</v>
      </c>
      <c r="G320">
        <v>23.85</v>
      </c>
      <c r="H320">
        <v>21.8</v>
      </c>
      <c r="K320" s="59" t="s">
        <v>40</v>
      </c>
      <c r="L320" s="59" t="s">
        <v>116</v>
      </c>
      <c r="M320" s="59" t="s">
        <v>4</v>
      </c>
      <c r="N320" s="59" t="s">
        <v>41</v>
      </c>
      <c r="O320" s="59" t="s">
        <v>42</v>
      </c>
      <c r="P320" s="59" t="s">
        <v>43</v>
      </c>
      <c r="Q320" t="s">
        <v>44</v>
      </c>
      <c r="S320" t="s">
        <v>39</v>
      </c>
      <c r="U320" t="s">
        <v>22</v>
      </c>
      <c r="W320" t="s">
        <v>37</v>
      </c>
      <c r="BJ320">
        <v>2</v>
      </c>
      <c r="BK320">
        <v>68</v>
      </c>
      <c r="BL320" t="s">
        <v>12</v>
      </c>
      <c r="BM320">
        <v>2</v>
      </c>
      <c r="BN320">
        <v>21.8</v>
      </c>
      <c r="BO320">
        <v>21.8</v>
      </c>
    </row>
    <row r="321" spans="1:67">
      <c r="A321">
        <v>16</v>
      </c>
      <c r="B321" t="s">
        <v>186</v>
      </c>
      <c r="C321">
        <v>43</v>
      </c>
      <c r="D321">
        <v>2</v>
      </c>
      <c r="E321">
        <v>26</v>
      </c>
      <c r="F321" t="s">
        <v>12</v>
      </c>
      <c r="G321">
        <v>21.24</v>
      </c>
      <c r="H321">
        <v>34.58</v>
      </c>
      <c r="J321" t="s">
        <v>22</v>
      </c>
      <c r="K321" t="s">
        <v>11</v>
      </c>
      <c r="L321">
        <v>27</v>
      </c>
      <c r="M321">
        <v>17.477777777777778</v>
      </c>
      <c r="N321">
        <v>13.783377902400435</v>
      </c>
      <c r="O321">
        <v>21.172177653155121</v>
      </c>
      <c r="P321">
        <v>1.8688414044518606E-7</v>
      </c>
      <c r="Q321">
        <v>0.47848825567424635</v>
      </c>
      <c r="S321" t="s">
        <v>45</v>
      </c>
      <c r="T321" t="s">
        <v>46</v>
      </c>
      <c r="U321" t="s">
        <v>47</v>
      </c>
      <c r="V321" t="s">
        <v>23</v>
      </c>
      <c r="W321" t="s">
        <v>47</v>
      </c>
      <c r="X321" t="s">
        <v>23</v>
      </c>
      <c r="BJ321">
        <v>2</v>
      </c>
      <c r="BK321">
        <v>26</v>
      </c>
      <c r="BL321" t="s">
        <v>12</v>
      </c>
      <c r="BM321">
        <v>2</v>
      </c>
      <c r="BN321">
        <v>34.58</v>
      </c>
      <c r="BO321">
        <v>34.58</v>
      </c>
    </row>
    <row r="322" spans="1:67">
      <c r="A322">
        <v>17</v>
      </c>
      <c r="B322" t="s">
        <v>187</v>
      </c>
      <c r="C322">
        <v>44</v>
      </c>
      <c r="D322">
        <v>1</v>
      </c>
      <c r="E322">
        <v>44</v>
      </c>
      <c r="F322" t="s">
        <v>12</v>
      </c>
      <c r="G322">
        <v>32.19</v>
      </c>
      <c r="H322">
        <v>28.17</v>
      </c>
      <c r="K322" t="s">
        <v>12</v>
      </c>
      <c r="L322">
        <v>27</v>
      </c>
      <c r="M322">
        <v>30.349259259259252</v>
      </c>
      <c r="N322">
        <v>26.654859383881909</v>
      </c>
      <c r="O322">
        <v>34.043659134636599</v>
      </c>
      <c r="Q322">
        <v>0.78314572025453821</v>
      </c>
      <c r="S322" t="s">
        <v>11</v>
      </c>
      <c r="T322" t="s">
        <v>12</v>
      </c>
      <c r="U322">
        <v>12.871481481481474</v>
      </c>
      <c r="V322">
        <v>1.2865590909294511E-6</v>
      </c>
      <c r="W322">
        <v>13.510370370370367</v>
      </c>
      <c r="X322">
        <v>2.5115065693803729E-8</v>
      </c>
      <c r="BJ322">
        <v>1</v>
      </c>
      <c r="BK322">
        <v>44</v>
      </c>
      <c r="BL322" t="s">
        <v>12</v>
      </c>
      <c r="BM322">
        <v>1</v>
      </c>
      <c r="BN322">
        <v>28.17</v>
      </c>
      <c r="BO322">
        <v>28.17</v>
      </c>
    </row>
    <row r="323" spans="1:67">
      <c r="A323">
        <v>18</v>
      </c>
      <c r="B323" t="s">
        <v>188</v>
      </c>
      <c r="C323">
        <v>45</v>
      </c>
      <c r="D323">
        <v>1</v>
      </c>
      <c r="E323">
        <v>68</v>
      </c>
      <c r="F323" t="s">
        <v>12</v>
      </c>
      <c r="G323">
        <v>22.66</v>
      </c>
      <c r="H323">
        <v>22.02</v>
      </c>
      <c r="K323" t="s">
        <v>13</v>
      </c>
      <c r="L323">
        <v>27</v>
      </c>
      <c r="M323">
        <v>21.675925925925931</v>
      </c>
      <c r="N323">
        <v>17.981526050548588</v>
      </c>
      <c r="O323">
        <v>25.370325801303274</v>
      </c>
      <c r="Q323">
        <v>3.315824397439382E-3</v>
      </c>
      <c r="S323" t="s">
        <v>11</v>
      </c>
      <c r="T323" t="s">
        <v>13</v>
      </c>
      <c r="U323">
        <v>4.1981481481481531</v>
      </c>
      <c r="V323">
        <v>0.36537818594967753</v>
      </c>
      <c r="W323">
        <v>6.3307407407407403</v>
      </c>
      <c r="X323">
        <v>2.628469004345324E-2</v>
      </c>
      <c r="BJ323">
        <v>1</v>
      </c>
      <c r="BK323">
        <v>68</v>
      </c>
      <c r="BL323" t="s">
        <v>12</v>
      </c>
      <c r="BM323">
        <v>1</v>
      </c>
      <c r="BN323">
        <v>22.02</v>
      </c>
      <c r="BO323">
        <v>22.02</v>
      </c>
    </row>
    <row r="324" spans="1:67">
      <c r="A324">
        <v>19</v>
      </c>
      <c r="B324" t="s">
        <v>189</v>
      </c>
      <c r="C324">
        <v>46</v>
      </c>
      <c r="D324">
        <v>2</v>
      </c>
      <c r="E324">
        <v>35</v>
      </c>
      <c r="F324" t="s">
        <v>12</v>
      </c>
      <c r="G324">
        <v>21.84</v>
      </c>
      <c r="H324">
        <v>10.89</v>
      </c>
      <c r="K324" t="s">
        <v>14</v>
      </c>
      <c r="L324">
        <v>27</v>
      </c>
      <c r="M324">
        <v>17.341111111111111</v>
      </c>
      <c r="N324">
        <v>13.646711235733768</v>
      </c>
      <c r="O324">
        <v>21.035510986488454</v>
      </c>
      <c r="Q324">
        <v>0.51002891777606818</v>
      </c>
      <c r="S324" t="s">
        <v>11</v>
      </c>
      <c r="T324" t="s">
        <v>14</v>
      </c>
      <c r="U324">
        <v>0.13666666666666671</v>
      </c>
      <c r="V324">
        <v>0.99999715679936274</v>
      </c>
      <c r="W324">
        <v>2.518518518518519</v>
      </c>
      <c r="X324">
        <v>0.75481641016079248</v>
      </c>
      <c r="BJ324">
        <v>2</v>
      </c>
      <c r="BK324">
        <v>35</v>
      </c>
      <c r="BL324" t="s">
        <v>12</v>
      </c>
      <c r="BM324">
        <v>2</v>
      </c>
      <c r="BN324">
        <v>10.89</v>
      </c>
      <c r="BO324">
        <v>10.89</v>
      </c>
    </row>
    <row r="325" spans="1:67">
      <c r="A325">
        <v>20</v>
      </c>
      <c r="B325" t="s">
        <v>190</v>
      </c>
      <c r="C325">
        <v>47</v>
      </c>
      <c r="D325">
        <v>1</v>
      </c>
      <c r="E325">
        <v>64</v>
      </c>
      <c r="F325" t="s">
        <v>12</v>
      </c>
      <c r="G325">
        <v>28.89</v>
      </c>
      <c r="H325">
        <v>30.78</v>
      </c>
      <c r="K325" t="s">
        <v>15</v>
      </c>
      <c r="L325">
        <v>27</v>
      </c>
      <c r="M325">
        <v>20.755925925925926</v>
      </c>
      <c r="N325">
        <v>17.061526050548583</v>
      </c>
      <c r="O325">
        <v>24.450325801303268</v>
      </c>
      <c r="Q325">
        <v>0.13481525112206871</v>
      </c>
      <c r="S325" t="s">
        <v>11</v>
      </c>
      <c r="T325" t="s">
        <v>15</v>
      </c>
      <c r="U325">
        <v>3.2781481481481478</v>
      </c>
      <c r="V325">
        <v>0.61415095346808068</v>
      </c>
      <c r="W325">
        <v>3.4940740740740743</v>
      </c>
      <c r="X325">
        <v>0.46446169049251651</v>
      </c>
      <c r="BJ325">
        <v>1</v>
      </c>
      <c r="BK325">
        <v>64</v>
      </c>
      <c r="BL325" t="s">
        <v>12</v>
      </c>
      <c r="BM325">
        <v>1</v>
      </c>
      <c r="BN325">
        <v>30.78</v>
      </c>
      <c r="BO325">
        <v>30.78</v>
      </c>
    </row>
    <row r="326" spans="1:67">
      <c r="A326">
        <v>21</v>
      </c>
      <c r="B326" t="s">
        <v>191</v>
      </c>
      <c r="C326">
        <v>48</v>
      </c>
      <c r="D326">
        <v>1</v>
      </c>
      <c r="E326">
        <v>20</v>
      </c>
      <c r="F326" t="s">
        <v>12</v>
      </c>
      <c r="G326">
        <v>33.89</v>
      </c>
      <c r="H326">
        <v>32.479999999999997</v>
      </c>
      <c r="J326" t="s">
        <v>37</v>
      </c>
      <c r="K326" t="s">
        <v>11</v>
      </c>
      <c r="L326">
        <v>27</v>
      </c>
      <c r="M326">
        <v>17.155555555555555</v>
      </c>
      <c r="N326">
        <v>13.773352562794891</v>
      </c>
      <c r="O326">
        <v>20.537758548316219</v>
      </c>
      <c r="P326">
        <v>2.2338800880619082E-8</v>
      </c>
      <c r="Q326">
        <v>4.4871803031905078E-3</v>
      </c>
      <c r="S326" t="s">
        <v>12</v>
      </c>
      <c r="T326" t="s">
        <v>13</v>
      </c>
      <c r="U326">
        <v>8.6733333333333213</v>
      </c>
      <c r="V326">
        <v>2.3054000009138376E-3</v>
      </c>
      <c r="W326">
        <v>7.1796296296296269</v>
      </c>
      <c r="X326">
        <v>7.7491979698527391E-3</v>
      </c>
      <c r="BJ326">
        <v>1</v>
      </c>
      <c r="BK326">
        <v>20</v>
      </c>
      <c r="BL326" t="s">
        <v>12</v>
      </c>
      <c r="BM326">
        <v>1</v>
      </c>
      <c r="BN326">
        <v>32.479999999999997</v>
      </c>
      <c r="BO326">
        <v>32.479999999999997</v>
      </c>
    </row>
    <row r="327" spans="1:67">
      <c r="A327">
        <v>22</v>
      </c>
      <c r="B327" t="s">
        <v>192</v>
      </c>
      <c r="C327">
        <v>49</v>
      </c>
      <c r="D327">
        <v>1</v>
      </c>
      <c r="E327">
        <v>47</v>
      </c>
      <c r="F327" t="s">
        <v>12</v>
      </c>
      <c r="G327">
        <v>36.15</v>
      </c>
      <c r="H327">
        <v>49.96</v>
      </c>
      <c r="K327" t="s">
        <v>12</v>
      </c>
      <c r="L327">
        <v>27</v>
      </c>
      <c r="M327">
        <v>30.665925925925922</v>
      </c>
      <c r="N327">
        <v>27.283722933165258</v>
      </c>
      <c r="O327">
        <v>34.048128918686587</v>
      </c>
      <c r="Q327">
        <v>0.45537981149859341</v>
      </c>
      <c r="S327" t="s">
        <v>12</v>
      </c>
      <c r="T327" t="s">
        <v>14</v>
      </c>
      <c r="U327">
        <v>13.008148148148141</v>
      </c>
      <c r="V327">
        <v>9.7692143696814782E-7</v>
      </c>
      <c r="W327">
        <v>10.991851851851848</v>
      </c>
      <c r="X327">
        <v>7.0597256485172011E-6</v>
      </c>
      <c r="BJ327">
        <v>1</v>
      </c>
      <c r="BK327">
        <v>47</v>
      </c>
      <c r="BL327" t="s">
        <v>12</v>
      </c>
      <c r="BM327">
        <v>1</v>
      </c>
      <c r="BN327">
        <v>49.96</v>
      </c>
      <c r="BO327">
        <v>49.96</v>
      </c>
    </row>
    <row r="328" spans="1:67">
      <c r="A328">
        <v>23</v>
      </c>
      <c r="B328" t="s">
        <v>193</v>
      </c>
      <c r="C328">
        <v>50</v>
      </c>
      <c r="D328">
        <v>1</v>
      </c>
      <c r="E328">
        <v>47</v>
      </c>
      <c r="F328" t="s">
        <v>12</v>
      </c>
      <c r="G328">
        <v>39.549999999999997</v>
      </c>
      <c r="H328">
        <v>38.65</v>
      </c>
      <c r="K328" t="s">
        <v>13</v>
      </c>
      <c r="L328">
        <v>27</v>
      </c>
      <c r="M328">
        <v>23.486296296296295</v>
      </c>
      <c r="N328">
        <v>20.104093303535631</v>
      </c>
      <c r="O328">
        <v>26.86849928905696</v>
      </c>
      <c r="Q328">
        <v>0.39975597033171839</v>
      </c>
      <c r="S328" t="s">
        <v>12</v>
      </c>
      <c r="T328" t="s">
        <v>15</v>
      </c>
      <c r="U328">
        <v>9.5933333333333266</v>
      </c>
      <c r="V328">
        <v>5.3570370387634458E-4</v>
      </c>
      <c r="W328">
        <v>10.016296296296293</v>
      </c>
      <c r="X328">
        <v>5.183634151384453E-5</v>
      </c>
      <c r="BJ328">
        <v>1</v>
      </c>
      <c r="BK328">
        <v>47</v>
      </c>
      <c r="BL328" t="s">
        <v>12</v>
      </c>
      <c r="BM328">
        <v>1</v>
      </c>
      <c r="BN328">
        <v>38.65</v>
      </c>
      <c r="BO328">
        <v>38.65</v>
      </c>
    </row>
    <row r="329" spans="1:67">
      <c r="A329">
        <v>24</v>
      </c>
      <c r="B329" t="s">
        <v>194</v>
      </c>
      <c r="C329">
        <v>51</v>
      </c>
      <c r="D329">
        <v>1</v>
      </c>
      <c r="E329">
        <v>41</v>
      </c>
      <c r="F329" t="s">
        <v>12</v>
      </c>
      <c r="G329">
        <v>25.81</v>
      </c>
      <c r="H329">
        <v>26.56</v>
      </c>
      <c r="K329" t="s">
        <v>14</v>
      </c>
      <c r="L329">
        <v>27</v>
      </c>
      <c r="M329">
        <v>19.674074074074074</v>
      </c>
      <c r="N329">
        <v>16.29187108131341</v>
      </c>
      <c r="O329">
        <v>23.056277066834738</v>
      </c>
      <c r="Q329">
        <v>0.74927764436293587</v>
      </c>
      <c r="S329" t="s">
        <v>13</v>
      </c>
      <c r="T329" t="s">
        <v>14</v>
      </c>
      <c r="U329">
        <v>4.3348148148148198</v>
      </c>
      <c r="V329">
        <v>0.33250070910751983</v>
      </c>
      <c r="W329">
        <v>3.8122222222222213</v>
      </c>
      <c r="X329">
        <v>0.37380544505407143</v>
      </c>
      <c r="BJ329">
        <v>1</v>
      </c>
      <c r="BK329">
        <v>41</v>
      </c>
      <c r="BL329" t="s">
        <v>12</v>
      </c>
      <c r="BM329">
        <v>1</v>
      </c>
      <c r="BN329">
        <v>26.56</v>
      </c>
      <c r="BO329">
        <v>26.56</v>
      </c>
    </row>
    <row r="330" spans="1:67">
      <c r="A330">
        <v>25</v>
      </c>
      <c r="B330" t="s">
        <v>195</v>
      </c>
      <c r="C330">
        <v>52</v>
      </c>
      <c r="D330">
        <v>1</v>
      </c>
      <c r="E330">
        <v>39</v>
      </c>
      <c r="F330" t="s">
        <v>12</v>
      </c>
      <c r="G330">
        <v>27.64</v>
      </c>
      <c r="H330">
        <v>20.55</v>
      </c>
      <c r="K330" t="s">
        <v>15</v>
      </c>
      <c r="L330">
        <v>27</v>
      </c>
      <c r="M330">
        <v>20.649629629629629</v>
      </c>
      <c r="N330">
        <v>17.267426636868965</v>
      </c>
      <c r="O330">
        <v>24.031832622390294</v>
      </c>
      <c r="Q330">
        <v>8.4156018956150325E-2</v>
      </c>
      <c r="S330" t="s">
        <v>13</v>
      </c>
      <c r="T330" t="s">
        <v>15</v>
      </c>
      <c r="U330">
        <v>0.92000000000000526</v>
      </c>
      <c r="V330">
        <v>0.9945805361449066</v>
      </c>
      <c r="W330">
        <v>2.836666666666666</v>
      </c>
      <c r="X330">
        <v>0.66377041282548399</v>
      </c>
      <c r="BJ330">
        <v>1</v>
      </c>
      <c r="BK330">
        <v>39</v>
      </c>
      <c r="BL330" t="s">
        <v>12</v>
      </c>
      <c r="BM330">
        <v>1</v>
      </c>
      <c r="BN330">
        <v>20.55</v>
      </c>
      <c r="BO330">
        <v>20.55</v>
      </c>
    </row>
    <row r="331" spans="1:67">
      <c r="A331">
        <v>26</v>
      </c>
      <c r="B331" t="s">
        <v>196</v>
      </c>
      <c r="C331">
        <v>53</v>
      </c>
      <c r="D331">
        <v>1</v>
      </c>
      <c r="E331">
        <v>59</v>
      </c>
      <c r="F331" t="s">
        <v>12</v>
      </c>
      <c r="G331">
        <v>29.49</v>
      </c>
      <c r="H331">
        <v>23.05</v>
      </c>
      <c r="S331" t="s">
        <v>14</v>
      </c>
      <c r="T331" t="s">
        <v>15</v>
      </c>
      <c r="U331">
        <v>3.4148148148148145</v>
      </c>
      <c r="V331">
        <v>0.57590401215496578</v>
      </c>
      <c r="W331">
        <v>0.97555555555555529</v>
      </c>
      <c r="X331">
        <v>0.99049417793848071</v>
      </c>
      <c r="BJ331">
        <v>1</v>
      </c>
      <c r="BK331">
        <v>59</v>
      </c>
      <c r="BL331" t="s">
        <v>12</v>
      </c>
      <c r="BM331">
        <v>1</v>
      </c>
      <c r="BN331">
        <v>23.05</v>
      </c>
      <c r="BO331">
        <v>23.05</v>
      </c>
    </row>
    <row r="332" spans="1:67">
      <c r="A332">
        <v>27</v>
      </c>
      <c r="B332" t="s">
        <v>197</v>
      </c>
      <c r="C332">
        <v>54</v>
      </c>
      <c r="D332">
        <v>1</v>
      </c>
      <c r="E332">
        <v>68</v>
      </c>
      <c r="F332" t="s">
        <v>12</v>
      </c>
      <c r="G332">
        <v>24.58</v>
      </c>
      <c r="H332">
        <v>31.49</v>
      </c>
      <c r="BJ332">
        <v>1</v>
      </c>
      <c r="BK332">
        <v>68</v>
      </c>
      <c r="BL332" t="s">
        <v>12</v>
      </c>
      <c r="BM332">
        <v>1</v>
      </c>
      <c r="BN332">
        <v>31.49</v>
      </c>
      <c r="BO332">
        <v>31.49</v>
      </c>
    </row>
    <row r="333" spans="1:67">
      <c r="A333">
        <v>1</v>
      </c>
      <c r="B333" t="s">
        <v>198</v>
      </c>
      <c r="C333">
        <v>55</v>
      </c>
      <c r="D333">
        <v>2</v>
      </c>
      <c r="E333">
        <v>25</v>
      </c>
      <c r="F333" t="s">
        <v>13</v>
      </c>
      <c r="G333">
        <v>26.5</v>
      </c>
      <c r="H333">
        <v>27.17</v>
      </c>
      <c r="K333" t="s">
        <v>22</v>
      </c>
      <c r="L333" s="42" t="s">
        <v>11</v>
      </c>
      <c r="M333" s="42" t="s">
        <v>12</v>
      </c>
      <c r="N333" s="42" t="s">
        <v>13</v>
      </c>
      <c r="O333" s="42" t="s">
        <v>14</v>
      </c>
      <c r="P333" s="42" t="s">
        <v>15</v>
      </c>
      <c r="R333" s="42"/>
      <c r="S333" s="42" t="s">
        <v>11</v>
      </c>
      <c r="T333" s="42" t="s">
        <v>12</v>
      </c>
      <c r="U333" s="42" t="s">
        <v>13</v>
      </c>
      <c r="V333" s="42" t="s">
        <v>14</v>
      </c>
      <c r="W333" s="42" t="s">
        <v>15</v>
      </c>
      <c r="BJ333">
        <v>2</v>
      </c>
      <c r="BK333">
        <v>25</v>
      </c>
      <c r="BL333" t="s">
        <v>13</v>
      </c>
      <c r="BM333">
        <v>2</v>
      </c>
      <c r="BN333">
        <v>27.17</v>
      </c>
      <c r="BO333">
        <v>27.17</v>
      </c>
    </row>
    <row r="334" spans="1:67">
      <c r="A334">
        <v>2</v>
      </c>
      <c r="B334" t="s">
        <v>199</v>
      </c>
      <c r="C334">
        <v>56</v>
      </c>
      <c r="D334">
        <v>1</v>
      </c>
      <c r="E334">
        <v>24</v>
      </c>
      <c r="F334" t="s">
        <v>13</v>
      </c>
      <c r="G334">
        <v>27.2</v>
      </c>
      <c r="H334">
        <v>27.29</v>
      </c>
      <c r="K334" t="s">
        <v>4</v>
      </c>
      <c r="L334">
        <v>17.477777777777778</v>
      </c>
      <c r="M334">
        <v>30.349259259259252</v>
      </c>
      <c r="N334">
        <v>21.675925925925931</v>
      </c>
      <c r="O334">
        <v>17.341111111111111</v>
      </c>
      <c r="P334">
        <v>20.755925925925926</v>
      </c>
      <c r="R334" t="s">
        <v>4</v>
      </c>
      <c r="S334">
        <v>17.155555555555555</v>
      </c>
      <c r="T334">
        <v>30.665925925925922</v>
      </c>
      <c r="U334">
        <v>23.486296296296295</v>
      </c>
      <c r="V334">
        <v>19.674074074074074</v>
      </c>
      <c r="W334">
        <v>20.649629629629629</v>
      </c>
      <c r="BJ334">
        <v>1</v>
      </c>
      <c r="BK334">
        <v>24</v>
      </c>
      <c r="BL334" t="s">
        <v>13</v>
      </c>
      <c r="BM334">
        <v>1</v>
      </c>
      <c r="BN334">
        <v>27.29</v>
      </c>
      <c r="BO334">
        <v>27.29</v>
      </c>
    </row>
    <row r="335" spans="1:67">
      <c r="A335">
        <v>3</v>
      </c>
      <c r="B335" t="s">
        <v>200</v>
      </c>
      <c r="C335">
        <v>57</v>
      </c>
      <c r="D335">
        <v>1</v>
      </c>
      <c r="E335">
        <v>52</v>
      </c>
      <c r="F335" t="s">
        <v>13</v>
      </c>
      <c r="G335">
        <v>24.89</v>
      </c>
      <c r="H335">
        <v>22.16</v>
      </c>
      <c r="K335" t="s">
        <v>5</v>
      </c>
      <c r="L335">
        <v>0.70669031836998952</v>
      </c>
      <c r="M335">
        <v>1.8422658015985638</v>
      </c>
      <c r="N335">
        <v>1.6874007101112978</v>
      </c>
      <c r="O335">
        <v>1.9286222687842536</v>
      </c>
      <c r="P335">
        <v>1.6765104393800285</v>
      </c>
      <c r="R335" t="s">
        <v>5</v>
      </c>
      <c r="S335">
        <v>0.90344912578793724</v>
      </c>
      <c r="T335">
        <v>1.4831436793440294</v>
      </c>
      <c r="U335">
        <v>1.5729254096115792</v>
      </c>
      <c r="V335">
        <v>1.5167938576571842</v>
      </c>
      <c r="W335">
        <v>1.8254010589629623</v>
      </c>
      <c r="BJ335">
        <v>1</v>
      </c>
      <c r="BK335">
        <v>52</v>
      </c>
      <c r="BL335" t="s">
        <v>13</v>
      </c>
      <c r="BM335">
        <v>1</v>
      </c>
      <c r="BN335">
        <v>22.16</v>
      </c>
      <c r="BO335">
        <v>22.16</v>
      </c>
    </row>
    <row r="336" spans="1:67">
      <c r="A336">
        <v>4</v>
      </c>
      <c r="B336" t="s">
        <v>201</v>
      </c>
      <c r="C336">
        <v>58</v>
      </c>
      <c r="D336">
        <v>2</v>
      </c>
      <c r="E336">
        <v>35</v>
      </c>
      <c r="F336" t="s">
        <v>13</v>
      </c>
      <c r="G336">
        <v>17.87</v>
      </c>
      <c r="H336">
        <v>19.149999999999999</v>
      </c>
      <c r="K336" t="s">
        <v>6</v>
      </c>
      <c r="L336">
        <v>17.600000000000001</v>
      </c>
      <c r="M336">
        <v>30.78</v>
      </c>
      <c r="N336">
        <v>23.57</v>
      </c>
      <c r="O336">
        <v>16.600000000000001</v>
      </c>
      <c r="P336">
        <v>22.08</v>
      </c>
      <c r="R336" t="s">
        <v>6</v>
      </c>
      <c r="S336">
        <v>17.600000000000001</v>
      </c>
      <c r="T336">
        <v>29.49</v>
      </c>
      <c r="U336">
        <v>24.89</v>
      </c>
      <c r="V336">
        <v>19.329999999999998</v>
      </c>
      <c r="W336">
        <v>22.61</v>
      </c>
      <c r="BJ336">
        <v>2</v>
      </c>
      <c r="BK336">
        <v>35</v>
      </c>
      <c r="BL336" t="s">
        <v>13</v>
      </c>
      <c r="BM336">
        <v>2</v>
      </c>
      <c r="BN336">
        <v>19.149999999999999</v>
      </c>
      <c r="BO336">
        <v>19.149999999999999</v>
      </c>
    </row>
    <row r="337" spans="1:67">
      <c r="A337">
        <v>5</v>
      </c>
      <c r="B337" t="s">
        <v>202</v>
      </c>
      <c r="C337">
        <v>59</v>
      </c>
      <c r="D337">
        <v>2</v>
      </c>
      <c r="E337">
        <v>51</v>
      </c>
      <c r="F337" t="s">
        <v>13</v>
      </c>
      <c r="G337">
        <v>9.82</v>
      </c>
      <c r="H337">
        <v>27.94</v>
      </c>
      <c r="K337" t="s">
        <v>7</v>
      </c>
      <c r="L337">
        <v>24.1</v>
      </c>
      <c r="M337">
        <v>53.56</v>
      </c>
      <c r="N337">
        <v>36.29</v>
      </c>
      <c r="O337">
        <v>39.340000000000003</v>
      </c>
      <c r="P337">
        <v>34.58</v>
      </c>
      <c r="R337" t="s">
        <v>7</v>
      </c>
      <c r="S337">
        <v>24.5</v>
      </c>
      <c r="T337">
        <v>47.48</v>
      </c>
      <c r="U337">
        <v>40.17</v>
      </c>
      <c r="V337">
        <v>33.17</v>
      </c>
      <c r="W337">
        <v>33.1</v>
      </c>
      <c r="BJ337">
        <v>2</v>
      </c>
      <c r="BK337">
        <v>51</v>
      </c>
      <c r="BL337" t="s">
        <v>13</v>
      </c>
      <c r="BM337">
        <v>2</v>
      </c>
      <c r="BN337">
        <v>27.94</v>
      </c>
      <c r="BO337">
        <v>27.94</v>
      </c>
    </row>
    <row r="338" spans="1:67">
      <c r="A338">
        <v>6</v>
      </c>
      <c r="B338" t="s">
        <v>203</v>
      </c>
      <c r="C338">
        <v>60</v>
      </c>
      <c r="D338">
        <v>1</v>
      </c>
      <c r="E338">
        <v>23</v>
      </c>
      <c r="F338" t="s">
        <v>13</v>
      </c>
      <c r="G338">
        <v>34.450000000000003</v>
      </c>
      <c r="H338">
        <v>26.18</v>
      </c>
      <c r="K338" t="s">
        <v>8</v>
      </c>
      <c r="L338">
        <v>9.5</v>
      </c>
      <c r="M338">
        <v>10.89</v>
      </c>
      <c r="N338">
        <v>2.29</v>
      </c>
      <c r="O338">
        <v>2.5299999999999998</v>
      </c>
      <c r="P338">
        <v>4.88</v>
      </c>
      <c r="R338" t="s">
        <v>8</v>
      </c>
      <c r="S338">
        <v>0.6</v>
      </c>
      <c r="T338">
        <v>18.079999999999998</v>
      </c>
      <c r="U338">
        <v>4.2699999999999996</v>
      </c>
      <c r="V338">
        <v>4.4800000000000004</v>
      </c>
      <c r="W338">
        <v>2.95</v>
      </c>
      <c r="BJ338">
        <v>1</v>
      </c>
      <c r="BK338">
        <v>23</v>
      </c>
      <c r="BL338" t="s">
        <v>13</v>
      </c>
      <c r="BM338">
        <v>1</v>
      </c>
      <c r="BN338">
        <v>26.18</v>
      </c>
      <c r="BO338">
        <v>26.18</v>
      </c>
    </row>
    <row r="339" spans="1:67">
      <c r="A339">
        <v>7</v>
      </c>
      <c r="B339" t="s">
        <v>203</v>
      </c>
      <c r="C339">
        <v>61</v>
      </c>
      <c r="D339">
        <v>1</v>
      </c>
      <c r="E339">
        <v>21</v>
      </c>
      <c r="F339" t="s">
        <v>13</v>
      </c>
      <c r="G339">
        <v>4.2699999999999996</v>
      </c>
      <c r="H339">
        <v>6.01</v>
      </c>
      <c r="K339" t="s">
        <v>116</v>
      </c>
      <c r="L339">
        <v>27</v>
      </c>
      <c r="M339">
        <v>27</v>
      </c>
      <c r="N339">
        <v>27</v>
      </c>
      <c r="O339">
        <v>27</v>
      </c>
      <c r="P339">
        <v>27</v>
      </c>
      <c r="R339" t="s">
        <v>116</v>
      </c>
      <c r="S339">
        <v>27</v>
      </c>
      <c r="T339">
        <v>27</v>
      </c>
      <c r="U339">
        <v>27</v>
      </c>
      <c r="V339">
        <v>27</v>
      </c>
      <c r="W339">
        <v>27</v>
      </c>
      <c r="BJ339">
        <v>1</v>
      </c>
      <c r="BK339">
        <v>21</v>
      </c>
      <c r="BL339" t="s">
        <v>13</v>
      </c>
      <c r="BM339">
        <v>1</v>
      </c>
      <c r="BN339">
        <v>6.01</v>
      </c>
      <c r="BO339">
        <v>6.01</v>
      </c>
    </row>
    <row r="340" spans="1:67">
      <c r="A340">
        <v>8</v>
      </c>
      <c r="B340" t="s">
        <v>204</v>
      </c>
      <c r="C340">
        <v>62</v>
      </c>
      <c r="D340">
        <v>1</v>
      </c>
      <c r="E340">
        <v>50</v>
      </c>
      <c r="F340" t="s">
        <v>13</v>
      </c>
      <c r="G340">
        <v>16.78</v>
      </c>
      <c r="H340">
        <v>23.57</v>
      </c>
      <c r="K340" s="41" t="s">
        <v>9</v>
      </c>
      <c r="L340" s="41">
        <v>5.1000000000000014</v>
      </c>
      <c r="M340" s="41">
        <v>11.549999999999994</v>
      </c>
      <c r="N340" s="41">
        <v>7.6499999999999986</v>
      </c>
      <c r="O340" s="41">
        <v>12.555</v>
      </c>
      <c r="P340" s="41">
        <v>7.9549999999999983</v>
      </c>
      <c r="R340" s="41" t="s">
        <v>9</v>
      </c>
      <c r="S340" s="41">
        <v>5.3000000000000007</v>
      </c>
      <c r="T340" s="41">
        <v>12.530000000000005</v>
      </c>
      <c r="U340" s="41">
        <v>8.4350000000000023</v>
      </c>
      <c r="V340" s="41">
        <v>9.9550000000000018</v>
      </c>
      <c r="W340" s="41">
        <v>13.945</v>
      </c>
      <c r="BJ340">
        <v>1</v>
      </c>
      <c r="BK340">
        <v>50</v>
      </c>
      <c r="BL340" t="s">
        <v>13</v>
      </c>
      <c r="BM340">
        <v>1</v>
      </c>
      <c r="BN340">
        <v>23.57</v>
      </c>
      <c r="BO340">
        <v>23.57</v>
      </c>
    </row>
    <row r="341" spans="1:67">
      <c r="A341">
        <v>9</v>
      </c>
      <c r="B341" t="s">
        <v>205</v>
      </c>
      <c r="C341">
        <v>63</v>
      </c>
      <c r="D341">
        <v>1</v>
      </c>
      <c r="E341">
        <v>41</v>
      </c>
      <c r="F341" t="s">
        <v>13</v>
      </c>
      <c r="G341">
        <v>25.34</v>
      </c>
      <c r="H341">
        <v>24.22</v>
      </c>
      <c r="BJ341">
        <v>1</v>
      </c>
      <c r="BK341">
        <v>41</v>
      </c>
      <c r="BL341" t="s">
        <v>13</v>
      </c>
      <c r="BM341">
        <v>1</v>
      </c>
      <c r="BN341">
        <v>24.22</v>
      </c>
      <c r="BO341">
        <v>24.22</v>
      </c>
    </row>
    <row r="342" spans="1:67">
      <c r="A342">
        <v>10</v>
      </c>
      <c r="B342" t="s">
        <v>206</v>
      </c>
      <c r="C342">
        <v>64</v>
      </c>
      <c r="D342">
        <v>1</v>
      </c>
      <c r="E342">
        <v>58</v>
      </c>
      <c r="F342" t="s">
        <v>13</v>
      </c>
      <c r="G342">
        <v>26.96</v>
      </c>
      <c r="H342">
        <v>22.74</v>
      </c>
      <c r="BJ342">
        <v>1</v>
      </c>
      <c r="BK342">
        <v>58</v>
      </c>
      <c r="BL342" t="s">
        <v>13</v>
      </c>
      <c r="BM342">
        <v>1</v>
      </c>
      <c r="BN342">
        <v>22.74</v>
      </c>
      <c r="BO342">
        <v>22.74</v>
      </c>
    </row>
    <row r="343" spans="1:67">
      <c r="A343">
        <v>11</v>
      </c>
      <c r="B343" t="s">
        <v>207</v>
      </c>
      <c r="C343">
        <v>65</v>
      </c>
      <c r="D343">
        <v>1</v>
      </c>
      <c r="E343">
        <v>22</v>
      </c>
      <c r="F343" t="s">
        <v>13</v>
      </c>
      <c r="G343">
        <v>22.74</v>
      </c>
      <c r="H343">
        <v>26.96</v>
      </c>
      <c r="BJ343">
        <v>1</v>
      </c>
      <c r="BK343">
        <v>22</v>
      </c>
      <c r="BL343" t="s">
        <v>13</v>
      </c>
      <c r="BM343">
        <v>1</v>
      </c>
      <c r="BN343">
        <v>26.96</v>
      </c>
      <c r="BO343">
        <v>26.96</v>
      </c>
    </row>
    <row r="344" spans="1:67">
      <c r="A344">
        <v>12</v>
      </c>
      <c r="B344" t="s">
        <v>208</v>
      </c>
      <c r="C344">
        <v>66</v>
      </c>
      <c r="D344">
        <v>1</v>
      </c>
      <c r="E344">
        <v>24</v>
      </c>
      <c r="F344" t="s">
        <v>13</v>
      </c>
      <c r="G344">
        <v>28.43</v>
      </c>
      <c r="H344">
        <v>36.29</v>
      </c>
      <c r="L344" t="s">
        <v>116</v>
      </c>
      <c r="M344" t="s">
        <v>4</v>
      </c>
      <c r="N344" t="s">
        <v>5</v>
      </c>
      <c r="O344" t="s">
        <v>6</v>
      </c>
      <c r="P344" t="s">
        <v>7</v>
      </c>
      <c r="Q344" t="s">
        <v>8</v>
      </c>
      <c r="R344" s="41" t="s">
        <v>9</v>
      </c>
      <c r="BJ344">
        <v>1</v>
      </c>
      <c r="BK344">
        <v>24</v>
      </c>
      <c r="BL344" t="s">
        <v>13</v>
      </c>
      <c r="BM344">
        <v>1</v>
      </c>
      <c r="BN344">
        <v>36.29</v>
      </c>
      <c r="BO344">
        <v>36.29</v>
      </c>
    </row>
    <row r="345" spans="1:67">
      <c r="A345">
        <v>13</v>
      </c>
      <c r="B345" t="s">
        <v>209</v>
      </c>
      <c r="C345">
        <v>67</v>
      </c>
      <c r="D345">
        <v>2</v>
      </c>
      <c r="E345">
        <v>46</v>
      </c>
      <c r="F345" t="s">
        <v>13</v>
      </c>
      <c r="G345">
        <v>36.29</v>
      </c>
      <c r="H345">
        <v>28.43</v>
      </c>
      <c r="J345" t="s">
        <v>22</v>
      </c>
      <c r="K345" s="42" t="s">
        <v>11</v>
      </c>
      <c r="L345">
        <v>27</v>
      </c>
      <c r="M345">
        <v>17.477777777777778</v>
      </c>
      <c r="N345">
        <v>0.70669031836998952</v>
      </c>
      <c r="O345">
        <v>17.600000000000001</v>
      </c>
      <c r="P345">
        <v>24.1</v>
      </c>
      <c r="Q345">
        <v>9.5</v>
      </c>
      <c r="R345" s="41">
        <v>5.1000000000000014</v>
      </c>
      <c r="BJ345">
        <v>2</v>
      </c>
      <c r="BK345">
        <v>46</v>
      </c>
      <c r="BL345" t="s">
        <v>13</v>
      </c>
      <c r="BM345">
        <v>2</v>
      </c>
      <c r="BN345">
        <v>28.43</v>
      </c>
      <c r="BO345">
        <v>28.43</v>
      </c>
    </row>
    <row r="346" spans="1:67">
      <c r="A346">
        <v>14</v>
      </c>
      <c r="B346" t="s">
        <v>210</v>
      </c>
      <c r="C346">
        <v>68</v>
      </c>
      <c r="D346">
        <v>1</v>
      </c>
      <c r="E346">
        <v>35</v>
      </c>
      <c r="F346" t="s">
        <v>13</v>
      </c>
      <c r="G346">
        <v>22.83</v>
      </c>
      <c r="H346">
        <v>16.600000000000001</v>
      </c>
      <c r="K346" s="42" t="s">
        <v>12</v>
      </c>
      <c r="L346">
        <v>27</v>
      </c>
      <c r="M346">
        <v>30.349259259259252</v>
      </c>
      <c r="N346">
        <v>1.8422658015985638</v>
      </c>
      <c r="O346">
        <v>30.78</v>
      </c>
      <c r="P346">
        <v>53.56</v>
      </c>
      <c r="Q346">
        <v>10.89</v>
      </c>
      <c r="R346" s="41">
        <v>11.549999999999994</v>
      </c>
      <c r="BJ346">
        <v>1</v>
      </c>
      <c r="BK346">
        <v>35</v>
      </c>
      <c r="BL346" t="s">
        <v>13</v>
      </c>
      <c r="BM346">
        <v>1</v>
      </c>
      <c r="BN346">
        <v>16.600000000000001</v>
      </c>
      <c r="BO346">
        <v>16.600000000000001</v>
      </c>
    </row>
    <row r="347" spans="1:67">
      <c r="A347">
        <v>15</v>
      </c>
      <c r="B347" t="s">
        <v>211</v>
      </c>
      <c r="C347">
        <v>69</v>
      </c>
      <c r="D347">
        <v>2</v>
      </c>
      <c r="E347">
        <v>52</v>
      </c>
      <c r="F347" t="s">
        <v>13</v>
      </c>
      <c r="G347">
        <v>20.350000000000001</v>
      </c>
      <c r="H347">
        <v>3.23</v>
      </c>
      <c r="K347" s="42" t="s">
        <v>13</v>
      </c>
      <c r="L347">
        <v>27</v>
      </c>
      <c r="M347">
        <v>21.675925925925931</v>
      </c>
      <c r="N347">
        <v>1.6874007101112978</v>
      </c>
      <c r="O347">
        <v>23.57</v>
      </c>
      <c r="P347">
        <v>36.29</v>
      </c>
      <c r="Q347">
        <v>2.29</v>
      </c>
      <c r="R347" s="41">
        <v>7.6499999999999986</v>
      </c>
      <c r="BJ347">
        <v>2</v>
      </c>
      <c r="BK347">
        <v>52</v>
      </c>
      <c r="BL347" t="s">
        <v>13</v>
      </c>
      <c r="BM347">
        <v>2</v>
      </c>
      <c r="BN347">
        <v>3.23</v>
      </c>
      <c r="BO347">
        <v>3.23</v>
      </c>
    </row>
    <row r="348" spans="1:67">
      <c r="A348">
        <v>16</v>
      </c>
      <c r="B348" t="s">
        <v>212</v>
      </c>
      <c r="C348">
        <v>70</v>
      </c>
      <c r="D348">
        <v>1</v>
      </c>
      <c r="E348">
        <v>34</v>
      </c>
      <c r="F348" t="s">
        <v>13</v>
      </c>
      <c r="G348">
        <v>15.67</v>
      </c>
      <c r="H348">
        <v>17.350000000000001</v>
      </c>
      <c r="K348" s="42" t="s">
        <v>14</v>
      </c>
      <c r="L348">
        <v>27</v>
      </c>
      <c r="M348">
        <v>17.341111111111111</v>
      </c>
      <c r="N348">
        <v>1.9286222687842536</v>
      </c>
      <c r="O348">
        <v>16.600000000000001</v>
      </c>
      <c r="P348">
        <v>39.340000000000003</v>
      </c>
      <c r="Q348">
        <v>2.5299999999999998</v>
      </c>
      <c r="R348" s="41">
        <v>12.555</v>
      </c>
      <c r="BJ348">
        <v>1</v>
      </c>
      <c r="BK348">
        <v>34</v>
      </c>
      <c r="BL348" t="s">
        <v>13</v>
      </c>
      <c r="BM348">
        <v>1</v>
      </c>
      <c r="BN348">
        <v>17.350000000000001</v>
      </c>
      <c r="BO348">
        <v>17.350000000000001</v>
      </c>
    </row>
    <row r="349" spans="1:67">
      <c r="A349">
        <v>17</v>
      </c>
      <c r="B349" t="s">
        <v>213</v>
      </c>
      <c r="C349">
        <v>71</v>
      </c>
      <c r="D349">
        <v>2</v>
      </c>
      <c r="E349">
        <v>52</v>
      </c>
      <c r="F349" t="s">
        <v>13</v>
      </c>
      <c r="G349">
        <v>7.96</v>
      </c>
      <c r="H349">
        <v>3.5</v>
      </c>
      <c r="K349" s="42" t="s">
        <v>15</v>
      </c>
      <c r="L349">
        <v>27</v>
      </c>
      <c r="M349">
        <v>20.755925925925926</v>
      </c>
      <c r="N349">
        <v>1.6765104393800285</v>
      </c>
      <c r="O349">
        <v>22.08</v>
      </c>
      <c r="P349">
        <v>34.58</v>
      </c>
      <c r="Q349">
        <v>4.88</v>
      </c>
      <c r="R349" s="41">
        <v>7.9549999999999983</v>
      </c>
      <c r="BJ349">
        <v>2</v>
      </c>
      <c r="BK349">
        <v>52</v>
      </c>
      <c r="BL349" t="s">
        <v>13</v>
      </c>
      <c r="BM349">
        <v>2</v>
      </c>
      <c r="BN349">
        <v>3.5</v>
      </c>
      <c r="BO349">
        <v>3.5</v>
      </c>
    </row>
    <row r="350" spans="1:67">
      <c r="A350">
        <v>18</v>
      </c>
      <c r="B350" t="s">
        <v>214</v>
      </c>
      <c r="C350">
        <v>72</v>
      </c>
      <c r="D350">
        <v>1</v>
      </c>
      <c r="E350">
        <v>53</v>
      </c>
      <c r="F350" t="s">
        <v>13</v>
      </c>
      <c r="G350">
        <v>22.96</v>
      </c>
      <c r="H350">
        <v>21.79</v>
      </c>
      <c r="J350" t="s">
        <v>37</v>
      </c>
      <c r="K350" s="42" t="s">
        <v>11</v>
      </c>
      <c r="L350">
        <v>27</v>
      </c>
      <c r="M350">
        <v>17.155555555555555</v>
      </c>
      <c r="N350">
        <v>0.90344912578793724</v>
      </c>
      <c r="O350">
        <v>17.600000000000001</v>
      </c>
      <c r="P350">
        <v>24.5</v>
      </c>
      <c r="Q350">
        <v>0.6</v>
      </c>
      <c r="R350" s="41">
        <v>5.3000000000000007</v>
      </c>
      <c r="BJ350">
        <v>1</v>
      </c>
      <c r="BK350">
        <v>53</v>
      </c>
      <c r="BL350" t="s">
        <v>13</v>
      </c>
      <c r="BM350">
        <v>1</v>
      </c>
      <c r="BN350">
        <v>21.79</v>
      </c>
      <c r="BO350">
        <v>21.79</v>
      </c>
    </row>
    <row r="351" spans="1:67">
      <c r="A351">
        <v>19</v>
      </c>
      <c r="B351" t="s">
        <v>215</v>
      </c>
      <c r="C351">
        <v>73</v>
      </c>
      <c r="D351">
        <v>2</v>
      </c>
      <c r="E351">
        <v>35</v>
      </c>
      <c r="F351" t="s">
        <v>13</v>
      </c>
      <c r="G351">
        <v>27.89</v>
      </c>
      <c r="H351">
        <v>27.89</v>
      </c>
      <c r="K351" s="42" t="s">
        <v>12</v>
      </c>
      <c r="L351">
        <v>27</v>
      </c>
      <c r="M351">
        <v>30.665925925925922</v>
      </c>
      <c r="N351">
        <v>1.4831436793440294</v>
      </c>
      <c r="O351">
        <v>29.49</v>
      </c>
      <c r="P351">
        <v>47.48</v>
      </c>
      <c r="Q351">
        <v>18.079999999999998</v>
      </c>
      <c r="R351" s="41">
        <v>12.530000000000005</v>
      </c>
      <c r="BJ351">
        <v>2</v>
      </c>
      <c r="BK351">
        <v>35</v>
      </c>
      <c r="BL351" t="s">
        <v>13</v>
      </c>
      <c r="BM351">
        <v>2</v>
      </c>
      <c r="BN351">
        <v>27.89</v>
      </c>
      <c r="BO351">
        <v>27.89</v>
      </c>
    </row>
    <row r="352" spans="1:67">
      <c r="A352">
        <v>20</v>
      </c>
      <c r="B352" t="s">
        <v>216</v>
      </c>
      <c r="C352">
        <v>74</v>
      </c>
      <c r="D352">
        <v>2</v>
      </c>
      <c r="E352">
        <v>24</v>
      </c>
      <c r="F352" t="s">
        <v>13</v>
      </c>
      <c r="G352">
        <v>16.25</v>
      </c>
      <c r="H352">
        <v>2.29</v>
      </c>
      <c r="K352" s="42" t="s">
        <v>13</v>
      </c>
      <c r="L352">
        <v>27</v>
      </c>
      <c r="M352">
        <v>23.486296296296295</v>
      </c>
      <c r="N352">
        <v>1.5729254096115792</v>
      </c>
      <c r="O352">
        <v>24.89</v>
      </c>
      <c r="P352">
        <v>40.17</v>
      </c>
      <c r="Q352">
        <v>4.2699999999999996</v>
      </c>
      <c r="R352" s="41">
        <v>8.4350000000000023</v>
      </c>
      <c r="BJ352">
        <v>2</v>
      </c>
      <c r="BK352">
        <v>24</v>
      </c>
      <c r="BL352" t="s">
        <v>13</v>
      </c>
      <c r="BM352">
        <v>2</v>
      </c>
      <c r="BN352">
        <v>2.29</v>
      </c>
      <c r="BO352">
        <v>2.29</v>
      </c>
    </row>
    <row r="353" spans="1:67">
      <c r="A353">
        <v>21</v>
      </c>
      <c r="B353" t="s">
        <v>217</v>
      </c>
      <c r="C353">
        <v>75</v>
      </c>
      <c r="D353">
        <v>2</v>
      </c>
      <c r="E353">
        <v>48</v>
      </c>
      <c r="F353" t="s">
        <v>13</v>
      </c>
      <c r="G353">
        <v>26.19</v>
      </c>
      <c r="H353">
        <v>29.05</v>
      </c>
      <c r="K353" s="42" t="s">
        <v>14</v>
      </c>
      <c r="L353">
        <v>27</v>
      </c>
      <c r="M353">
        <v>19.674074074074074</v>
      </c>
      <c r="N353">
        <v>1.5167938576571842</v>
      </c>
      <c r="O353">
        <v>19.329999999999998</v>
      </c>
      <c r="P353">
        <v>33.17</v>
      </c>
      <c r="Q353">
        <v>4.4800000000000004</v>
      </c>
      <c r="R353" s="41">
        <v>9.9550000000000018</v>
      </c>
      <c r="BJ353">
        <v>2</v>
      </c>
      <c r="BK353">
        <v>48</v>
      </c>
      <c r="BL353" t="s">
        <v>13</v>
      </c>
      <c r="BM353">
        <v>2</v>
      </c>
      <c r="BN353">
        <v>29.05</v>
      </c>
      <c r="BO353">
        <v>29.05</v>
      </c>
    </row>
    <row r="354" spans="1:67">
      <c r="A354">
        <v>22</v>
      </c>
      <c r="B354" t="s">
        <v>218</v>
      </c>
      <c r="C354">
        <v>76</v>
      </c>
      <c r="D354">
        <v>1</v>
      </c>
      <c r="E354">
        <v>64</v>
      </c>
      <c r="F354" t="s">
        <v>13</v>
      </c>
      <c r="G354">
        <v>40.17</v>
      </c>
      <c r="H354">
        <v>31.71</v>
      </c>
      <c r="K354" s="42" t="s">
        <v>15</v>
      </c>
      <c r="L354">
        <v>27</v>
      </c>
      <c r="M354">
        <v>20.649629629629629</v>
      </c>
      <c r="N354">
        <v>1.8254010589629623</v>
      </c>
      <c r="O354">
        <v>22.61</v>
      </c>
      <c r="P354">
        <v>33.1</v>
      </c>
      <c r="Q354">
        <v>2.95</v>
      </c>
      <c r="R354" s="41">
        <v>13.945</v>
      </c>
      <c r="BJ354">
        <v>1</v>
      </c>
      <c r="BK354">
        <v>64</v>
      </c>
      <c r="BL354" t="s">
        <v>13</v>
      </c>
      <c r="BM354">
        <v>1</v>
      </c>
      <c r="BN354">
        <v>31.71</v>
      </c>
      <c r="BO354">
        <v>31.71</v>
      </c>
    </row>
    <row r="355" spans="1:67">
      <c r="A355">
        <v>23</v>
      </c>
      <c r="B355" t="s">
        <v>219</v>
      </c>
      <c r="C355">
        <v>77</v>
      </c>
      <c r="D355">
        <v>1</v>
      </c>
      <c r="E355">
        <v>65</v>
      </c>
      <c r="F355" t="s">
        <v>13</v>
      </c>
      <c r="G355">
        <v>26.55</v>
      </c>
      <c r="H355">
        <v>20.43</v>
      </c>
      <c r="BJ355">
        <v>1</v>
      </c>
      <c r="BK355">
        <v>65</v>
      </c>
      <c r="BL355" t="s">
        <v>13</v>
      </c>
      <c r="BM355">
        <v>1</v>
      </c>
      <c r="BN355">
        <v>20.43</v>
      </c>
      <c r="BO355">
        <v>20.43</v>
      </c>
    </row>
    <row r="356" spans="1:67">
      <c r="A356">
        <v>24</v>
      </c>
      <c r="B356" t="s">
        <v>220</v>
      </c>
      <c r="C356">
        <v>78</v>
      </c>
      <c r="D356">
        <v>1</v>
      </c>
      <c r="E356">
        <v>41</v>
      </c>
      <c r="F356" t="s">
        <v>13</v>
      </c>
      <c r="G356">
        <v>23.54</v>
      </c>
      <c r="H356">
        <v>21.31</v>
      </c>
      <c r="BJ356">
        <v>1</v>
      </c>
      <c r="BK356">
        <v>41</v>
      </c>
      <c r="BL356" t="s">
        <v>13</v>
      </c>
      <c r="BM356">
        <v>1</v>
      </c>
      <c r="BN356">
        <v>21.31</v>
      </c>
      <c r="BO356">
        <v>21.31</v>
      </c>
    </row>
    <row r="357" spans="1:67">
      <c r="A357">
        <v>25</v>
      </c>
      <c r="B357" t="s">
        <v>221</v>
      </c>
      <c r="C357">
        <v>79</v>
      </c>
      <c r="D357">
        <v>2</v>
      </c>
      <c r="E357">
        <v>60</v>
      </c>
      <c r="F357" t="s">
        <v>13</v>
      </c>
      <c r="G357">
        <v>23.19</v>
      </c>
      <c r="H357">
        <v>20.55</v>
      </c>
      <c r="BJ357">
        <v>2</v>
      </c>
      <c r="BK357">
        <v>60</v>
      </c>
      <c r="BL357" t="s">
        <v>13</v>
      </c>
      <c r="BM357">
        <v>2</v>
      </c>
      <c r="BN357">
        <v>20.55</v>
      </c>
      <c r="BO357">
        <v>20.55</v>
      </c>
    </row>
    <row r="358" spans="1:67">
      <c r="A358">
        <v>26</v>
      </c>
      <c r="B358" t="s">
        <v>222</v>
      </c>
      <c r="C358">
        <v>80</v>
      </c>
      <c r="D358">
        <v>1</v>
      </c>
      <c r="E358">
        <v>44</v>
      </c>
      <c r="F358" t="s">
        <v>13</v>
      </c>
      <c r="G358">
        <v>28.43</v>
      </c>
      <c r="H358">
        <v>23.85</v>
      </c>
      <c r="BJ358">
        <v>1</v>
      </c>
      <c r="BK358">
        <v>44</v>
      </c>
      <c r="BL358" t="s">
        <v>13</v>
      </c>
      <c r="BM358">
        <v>1</v>
      </c>
      <c r="BN358">
        <v>23.85</v>
      </c>
      <c r="BO358">
        <v>23.85</v>
      </c>
    </row>
    <row r="359" spans="1:67">
      <c r="A359">
        <v>27</v>
      </c>
      <c r="B359" t="s">
        <v>223</v>
      </c>
      <c r="C359">
        <v>81</v>
      </c>
      <c r="D359">
        <v>1</v>
      </c>
      <c r="E359">
        <v>70</v>
      </c>
      <c r="F359" t="s">
        <v>13</v>
      </c>
      <c r="G359">
        <v>30.61</v>
      </c>
      <c r="H359">
        <v>27.59</v>
      </c>
      <c r="BJ359">
        <v>1</v>
      </c>
      <c r="BK359">
        <v>70</v>
      </c>
      <c r="BL359" t="s">
        <v>13</v>
      </c>
      <c r="BM359">
        <v>1</v>
      </c>
      <c r="BN359">
        <v>27.59</v>
      </c>
      <c r="BO359">
        <v>27.59</v>
      </c>
    </row>
    <row r="360" spans="1:67">
      <c r="A360">
        <v>1</v>
      </c>
      <c r="B360" t="s">
        <v>224</v>
      </c>
      <c r="C360">
        <v>82</v>
      </c>
      <c r="D360">
        <v>1</v>
      </c>
      <c r="E360">
        <v>70</v>
      </c>
      <c r="F360" t="s">
        <v>14</v>
      </c>
      <c r="G360">
        <v>16.5</v>
      </c>
      <c r="H360">
        <v>16.07</v>
      </c>
      <c r="BJ360">
        <v>1</v>
      </c>
      <c r="BK360">
        <v>70</v>
      </c>
      <c r="BL360" t="s">
        <v>14</v>
      </c>
      <c r="BM360">
        <v>1</v>
      </c>
      <c r="BN360">
        <v>16.07</v>
      </c>
      <c r="BO360">
        <v>16.07</v>
      </c>
    </row>
    <row r="361" spans="1:67">
      <c r="A361">
        <v>2</v>
      </c>
      <c r="B361" t="s">
        <v>225</v>
      </c>
      <c r="C361">
        <v>83</v>
      </c>
      <c r="D361">
        <v>1</v>
      </c>
      <c r="E361">
        <v>30</v>
      </c>
      <c r="F361" t="s">
        <v>14</v>
      </c>
      <c r="G361">
        <v>31.42</v>
      </c>
      <c r="H361">
        <v>39.340000000000003</v>
      </c>
      <c r="BJ361">
        <v>1</v>
      </c>
      <c r="BK361">
        <v>30</v>
      </c>
      <c r="BL361" t="s">
        <v>14</v>
      </c>
      <c r="BM361">
        <v>1</v>
      </c>
      <c r="BN361">
        <v>39.340000000000003</v>
      </c>
      <c r="BO361">
        <v>39.340000000000003</v>
      </c>
    </row>
    <row r="362" spans="1:67">
      <c r="A362">
        <v>3</v>
      </c>
      <c r="B362" t="s">
        <v>226</v>
      </c>
      <c r="C362">
        <v>84</v>
      </c>
      <c r="D362">
        <v>2</v>
      </c>
      <c r="E362">
        <v>24</v>
      </c>
      <c r="F362" t="s">
        <v>14</v>
      </c>
      <c r="G362">
        <v>13.53</v>
      </c>
      <c r="H362">
        <v>16.600000000000001</v>
      </c>
      <c r="BJ362">
        <v>2</v>
      </c>
      <c r="BK362">
        <v>24</v>
      </c>
      <c r="BL362" t="s">
        <v>14</v>
      </c>
      <c r="BM362">
        <v>2</v>
      </c>
      <c r="BN362">
        <v>16.600000000000001</v>
      </c>
      <c r="BO362">
        <v>16.600000000000001</v>
      </c>
    </row>
    <row r="363" spans="1:67">
      <c r="A363">
        <v>4</v>
      </c>
      <c r="B363" t="s">
        <v>227</v>
      </c>
      <c r="C363">
        <v>85</v>
      </c>
      <c r="D363">
        <v>1</v>
      </c>
      <c r="E363">
        <v>56</v>
      </c>
      <c r="F363" t="s">
        <v>14</v>
      </c>
      <c r="G363">
        <v>16.62</v>
      </c>
      <c r="H363">
        <v>16.04</v>
      </c>
      <c r="BJ363">
        <v>1</v>
      </c>
      <c r="BK363">
        <v>56</v>
      </c>
      <c r="BL363" t="s">
        <v>14</v>
      </c>
      <c r="BM363">
        <v>1</v>
      </c>
      <c r="BN363">
        <v>16.04</v>
      </c>
      <c r="BO363">
        <v>16.04</v>
      </c>
    </row>
    <row r="364" spans="1:67">
      <c r="A364">
        <v>5</v>
      </c>
      <c r="B364" t="s">
        <v>228</v>
      </c>
      <c r="C364">
        <v>86</v>
      </c>
      <c r="D364">
        <v>1</v>
      </c>
      <c r="E364">
        <v>60</v>
      </c>
      <c r="F364" t="s">
        <v>14</v>
      </c>
      <c r="G364">
        <v>24.05</v>
      </c>
      <c r="H364">
        <v>26.16</v>
      </c>
      <c r="BJ364">
        <v>1</v>
      </c>
      <c r="BK364">
        <v>60</v>
      </c>
      <c r="BL364" t="s">
        <v>14</v>
      </c>
      <c r="BM364">
        <v>1</v>
      </c>
      <c r="BN364">
        <v>26.16</v>
      </c>
      <c r="BO364">
        <v>26.16</v>
      </c>
    </row>
    <row r="365" spans="1:67">
      <c r="A365">
        <v>6</v>
      </c>
      <c r="B365" t="s">
        <v>229</v>
      </c>
      <c r="C365">
        <v>87</v>
      </c>
      <c r="D365">
        <v>2</v>
      </c>
      <c r="E365">
        <v>42</v>
      </c>
      <c r="F365" t="s">
        <v>14</v>
      </c>
      <c r="G365">
        <v>23.02</v>
      </c>
      <c r="H365">
        <v>7.9</v>
      </c>
      <c r="BJ365">
        <v>2</v>
      </c>
      <c r="BK365">
        <v>42</v>
      </c>
      <c r="BL365" t="s">
        <v>14</v>
      </c>
      <c r="BM365">
        <v>2</v>
      </c>
      <c r="BN365">
        <v>7.9</v>
      </c>
      <c r="BO365">
        <v>7.9</v>
      </c>
    </row>
    <row r="366" spans="1:67">
      <c r="A366">
        <v>7</v>
      </c>
      <c r="B366" t="s">
        <v>230</v>
      </c>
      <c r="C366">
        <v>88</v>
      </c>
      <c r="D366">
        <v>1</v>
      </c>
      <c r="E366">
        <v>50</v>
      </c>
      <c r="F366" t="s">
        <v>14</v>
      </c>
      <c r="G366">
        <v>19.329999999999998</v>
      </c>
      <c r="H366">
        <v>22.37</v>
      </c>
      <c r="BJ366">
        <v>1</v>
      </c>
      <c r="BK366">
        <v>50</v>
      </c>
      <c r="BL366" t="s">
        <v>14</v>
      </c>
      <c r="BM366">
        <v>1</v>
      </c>
      <c r="BN366">
        <v>22.37</v>
      </c>
      <c r="BO366">
        <v>22.37</v>
      </c>
    </row>
    <row r="367" spans="1:67">
      <c r="A367">
        <v>8</v>
      </c>
      <c r="B367" t="s">
        <v>231</v>
      </c>
      <c r="C367">
        <v>89</v>
      </c>
      <c r="D367">
        <v>2</v>
      </c>
      <c r="E367">
        <v>58</v>
      </c>
      <c r="F367" t="s">
        <v>14</v>
      </c>
      <c r="G367">
        <v>33.1</v>
      </c>
      <c r="H367">
        <v>34.28</v>
      </c>
      <c r="BJ367">
        <v>2</v>
      </c>
      <c r="BK367">
        <v>58</v>
      </c>
      <c r="BL367" t="s">
        <v>14</v>
      </c>
      <c r="BM367">
        <v>2</v>
      </c>
      <c r="BN367">
        <v>34.28</v>
      </c>
      <c r="BO367">
        <v>34.28</v>
      </c>
    </row>
    <row r="368" spans="1:67">
      <c r="A368">
        <v>9</v>
      </c>
      <c r="B368" t="s">
        <v>232</v>
      </c>
      <c r="C368">
        <v>90</v>
      </c>
      <c r="D368">
        <v>2</v>
      </c>
      <c r="E368">
        <v>37</v>
      </c>
      <c r="F368" t="s">
        <v>14</v>
      </c>
      <c r="G368">
        <v>28.92</v>
      </c>
      <c r="H368">
        <v>30.33</v>
      </c>
      <c r="BJ368">
        <v>2</v>
      </c>
      <c r="BK368">
        <v>37</v>
      </c>
      <c r="BL368" t="s">
        <v>14</v>
      </c>
      <c r="BM368">
        <v>2</v>
      </c>
      <c r="BN368">
        <v>30.33</v>
      </c>
      <c r="BO368">
        <v>30.33</v>
      </c>
    </row>
    <row r="369" spans="1:67">
      <c r="A369">
        <v>10</v>
      </c>
      <c r="B369" t="s">
        <v>233</v>
      </c>
      <c r="C369">
        <v>91</v>
      </c>
      <c r="D369">
        <v>2</v>
      </c>
      <c r="E369">
        <v>45</v>
      </c>
      <c r="F369" t="s">
        <v>14</v>
      </c>
      <c r="G369">
        <v>23.55</v>
      </c>
      <c r="H369">
        <v>17.41</v>
      </c>
      <c r="BJ369">
        <v>2</v>
      </c>
      <c r="BK369">
        <v>45</v>
      </c>
      <c r="BL369" t="s">
        <v>14</v>
      </c>
      <c r="BM369">
        <v>2</v>
      </c>
      <c r="BN369">
        <v>17.41</v>
      </c>
      <c r="BO369">
        <v>17.41</v>
      </c>
    </row>
    <row r="370" spans="1:67">
      <c r="A370">
        <v>11</v>
      </c>
      <c r="B370" t="s">
        <v>234</v>
      </c>
      <c r="C370">
        <v>92</v>
      </c>
      <c r="D370">
        <v>1</v>
      </c>
      <c r="E370">
        <v>62</v>
      </c>
      <c r="F370" t="s">
        <v>14</v>
      </c>
      <c r="G370">
        <v>10.3</v>
      </c>
      <c r="H370">
        <v>3.76</v>
      </c>
      <c r="BJ370">
        <v>1</v>
      </c>
      <c r="BK370">
        <v>62</v>
      </c>
      <c r="BL370" t="s">
        <v>14</v>
      </c>
      <c r="BM370">
        <v>1</v>
      </c>
      <c r="BN370">
        <v>3.76</v>
      </c>
      <c r="BO370">
        <v>3.76</v>
      </c>
    </row>
    <row r="371" spans="1:67">
      <c r="A371">
        <v>12</v>
      </c>
      <c r="B371" t="s">
        <v>235</v>
      </c>
      <c r="C371">
        <v>93</v>
      </c>
      <c r="D371">
        <v>2</v>
      </c>
      <c r="E371">
        <v>63</v>
      </c>
      <c r="F371" t="s">
        <v>14</v>
      </c>
      <c r="G371">
        <v>25.07</v>
      </c>
      <c r="H371">
        <v>19.98</v>
      </c>
      <c r="BJ371">
        <v>2</v>
      </c>
      <c r="BK371">
        <v>63</v>
      </c>
      <c r="BL371" t="s">
        <v>14</v>
      </c>
      <c r="BM371">
        <v>2</v>
      </c>
      <c r="BN371">
        <v>19.98</v>
      </c>
      <c r="BO371">
        <v>19.98</v>
      </c>
    </row>
    <row r="372" spans="1:67">
      <c r="A372">
        <v>13</v>
      </c>
      <c r="B372" t="s">
        <v>236</v>
      </c>
      <c r="C372">
        <v>94</v>
      </c>
      <c r="D372">
        <v>2</v>
      </c>
      <c r="E372">
        <v>65</v>
      </c>
      <c r="F372" t="s">
        <v>14</v>
      </c>
      <c r="G372">
        <v>8.67</v>
      </c>
      <c r="H372">
        <v>2.56</v>
      </c>
      <c r="BJ372">
        <v>2</v>
      </c>
      <c r="BK372">
        <v>65</v>
      </c>
      <c r="BL372" t="s">
        <v>14</v>
      </c>
      <c r="BM372">
        <v>2</v>
      </c>
      <c r="BN372">
        <v>2.56</v>
      </c>
      <c r="BO372">
        <v>2.56</v>
      </c>
    </row>
    <row r="373" spans="1:67">
      <c r="A373">
        <v>14</v>
      </c>
      <c r="B373" t="s">
        <v>237</v>
      </c>
      <c r="C373">
        <v>95</v>
      </c>
      <c r="D373">
        <v>2</v>
      </c>
      <c r="E373">
        <v>23</v>
      </c>
      <c r="F373" t="s">
        <v>14</v>
      </c>
      <c r="G373">
        <v>19.98</v>
      </c>
      <c r="H373">
        <v>4.01</v>
      </c>
      <c r="BJ373">
        <v>2</v>
      </c>
      <c r="BK373">
        <v>23</v>
      </c>
      <c r="BL373" t="s">
        <v>14</v>
      </c>
      <c r="BM373">
        <v>2</v>
      </c>
      <c r="BN373">
        <v>4.01</v>
      </c>
      <c r="BO373">
        <v>4.01</v>
      </c>
    </row>
    <row r="374" spans="1:67">
      <c r="A374">
        <v>15</v>
      </c>
      <c r="B374" t="s">
        <v>238</v>
      </c>
      <c r="C374">
        <v>96</v>
      </c>
      <c r="D374">
        <v>1</v>
      </c>
      <c r="E374">
        <v>26</v>
      </c>
      <c r="F374" t="s">
        <v>14</v>
      </c>
      <c r="G374">
        <v>15.68</v>
      </c>
      <c r="H374">
        <v>12.84</v>
      </c>
      <c r="BJ374">
        <v>1</v>
      </c>
      <c r="BK374">
        <v>26</v>
      </c>
      <c r="BL374" t="s">
        <v>14</v>
      </c>
      <c r="BM374">
        <v>1</v>
      </c>
      <c r="BN374">
        <v>12.84</v>
      </c>
      <c r="BO374">
        <v>12.84</v>
      </c>
    </row>
    <row r="375" spans="1:67">
      <c r="A375">
        <v>16</v>
      </c>
      <c r="B375" t="s">
        <v>239</v>
      </c>
      <c r="C375">
        <v>97</v>
      </c>
      <c r="D375">
        <v>2</v>
      </c>
      <c r="E375">
        <v>37</v>
      </c>
      <c r="F375" t="s">
        <v>14</v>
      </c>
      <c r="G375">
        <v>4.4800000000000004</v>
      </c>
      <c r="H375">
        <v>6.84</v>
      </c>
      <c r="BJ375">
        <v>2</v>
      </c>
      <c r="BK375">
        <v>37</v>
      </c>
      <c r="BL375" t="s">
        <v>14</v>
      </c>
      <c r="BM375">
        <v>2</v>
      </c>
      <c r="BN375">
        <v>6.84</v>
      </c>
      <c r="BO375">
        <v>6.84</v>
      </c>
    </row>
    <row r="376" spans="1:67">
      <c r="A376">
        <v>17</v>
      </c>
      <c r="B376" t="s">
        <v>240</v>
      </c>
      <c r="C376">
        <v>98</v>
      </c>
      <c r="D376">
        <v>1</v>
      </c>
      <c r="E376">
        <v>64</v>
      </c>
      <c r="F376" t="s">
        <v>14</v>
      </c>
      <c r="G376">
        <v>33.17</v>
      </c>
      <c r="H376">
        <v>33.409999999999997</v>
      </c>
      <c r="BJ376">
        <v>1</v>
      </c>
      <c r="BK376">
        <v>64</v>
      </c>
      <c r="BL376" t="s">
        <v>14</v>
      </c>
      <c r="BM376">
        <v>1</v>
      </c>
      <c r="BN376">
        <v>33.409999999999997</v>
      </c>
      <c r="BO376">
        <v>33.409999999999997</v>
      </c>
    </row>
    <row r="377" spans="1:67">
      <c r="A377">
        <v>18</v>
      </c>
      <c r="B377" t="s">
        <v>241</v>
      </c>
      <c r="C377">
        <v>99</v>
      </c>
      <c r="D377">
        <v>2</v>
      </c>
      <c r="E377">
        <v>68</v>
      </c>
      <c r="F377" t="s">
        <v>14</v>
      </c>
      <c r="G377">
        <v>27.64</v>
      </c>
      <c r="H377">
        <v>13.62</v>
      </c>
      <c r="BJ377">
        <v>2</v>
      </c>
      <c r="BK377">
        <v>68</v>
      </c>
      <c r="BL377" t="s">
        <v>14</v>
      </c>
      <c r="BM377">
        <v>2</v>
      </c>
      <c r="BN377">
        <v>13.62</v>
      </c>
      <c r="BO377">
        <v>13.62</v>
      </c>
    </row>
    <row r="378" spans="1:67">
      <c r="A378">
        <v>19</v>
      </c>
      <c r="B378" t="s">
        <v>242</v>
      </c>
      <c r="C378">
        <v>100</v>
      </c>
      <c r="D378">
        <v>1</v>
      </c>
      <c r="E378">
        <v>32</v>
      </c>
      <c r="F378" t="s">
        <v>14</v>
      </c>
      <c r="G378">
        <v>15.7</v>
      </c>
      <c r="H378">
        <v>18.690000000000001</v>
      </c>
      <c r="BJ378">
        <v>1</v>
      </c>
      <c r="BK378">
        <v>32</v>
      </c>
      <c r="BL378" t="s">
        <v>14</v>
      </c>
      <c r="BM378">
        <v>1</v>
      </c>
      <c r="BN378">
        <v>18.690000000000001</v>
      </c>
      <c r="BO378">
        <v>18.690000000000001</v>
      </c>
    </row>
    <row r="379" spans="1:67">
      <c r="A379">
        <v>20</v>
      </c>
      <c r="B379" t="s">
        <v>243</v>
      </c>
      <c r="C379">
        <v>101</v>
      </c>
      <c r="D379">
        <v>1</v>
      </c>
      <c r="E379">
        <v>23</v>
      </c>
      <c r="F379" t="s">
        <v>14</v>
      </c>
      <c r="G379">
        <v>11.46</v>
      </c>
      <c r="H379">
        <v>2.5299999999999998</v>
      </c>
      <c r="BJ379">
        <v>1</v>
      </c>
      <c r="BK379">
        <v>23</v>
      </c>
      <c r="BL379" t="s">
        <v>14</v>
      </c>
      <c r="BM379">
        <v>1</v>
      </c>
      <c r="BN379">
        <v>2.5299999999999998</v>
      </c>
      <c r="BO379">
        <v>2.5299999999999998</v>
      </c>
    </row>
    <row r="380" spans="1:67">
      <c r="A380">
        <v>21</v>
      </c>
      <c r="B380" t="s">
        <v>244</v>
      </c>
      <c r="C380">
        <v>102</v>
      </c>
      <c r="D380">
        <v>2</v>
      </c>
      <c r="E380">
        <v>22</v>
      </c>
      <c r="F380" t="s">
        <v>14</v>
      </c>
      <c r="G380">
        <v>16.61</v>
      </c>
      <c r="H380">
        <v>9.06</v>
      </c>
      <c r="BJ380">
        <v>2</v>
      </c>
      <c r="BK380">
        <v>22</v>
      </c>
      <c r="BL380" t="s">
        <v>14</v>
      </c>
      <c r="BM380">
        <v>2</v>
      </c>
      <c r="BN380">
        <v>9.06</v>
      </c>
      <c r="BO380">
        <v>9.06</v>
      </c>
    </row>
    <row r="381" spans="1:67">
      <c r="A381">
        <v>22</v>
      </c>
      <c r="B381" t="s">
        <v>245</v>
      </c>
      <c r="C381">
        <v>103</v>
      </c>
      <c r="D381">
        <v>2</v>
      </c>
      <c r="E381">
        <v>61</v>
      </c>
      <c r="F381" t="s">
        <v>14</v>
      </c>
      <c r="G381">
        <v>22.13</v>
      </c>
      <c r="H381">
        <v>11.72</v>
      </c>
      <c r="BJ381">
        <v>2</v>
      </c>
      <c r="BK381">
        <v>61</v>
      </c>
      <c r="BL381" t="s">
        <v>14</v>
      </c>
      <c r="BM381">
        <v>2</v>
      </c>
      <c r="BN381">
        <v>11.72</v>
      </c>
      <c r="BO381">
        <v>11.72</v>
      </c>
    </row>
    <row r="382" spans="1:67">
      <c r="A382">
        <v>23</v>
      </c>
      <c r="B382" t="s">
        <v>246</v>
      </c>
      <c r="C382">
        <v>104</v>
      </c>
      <c r="D382">
        <v>1</v>
      </c>
      <c r="E382">
        <v>27</v>
      </c>
      <c r="F382" t="s">
        <v>14</v>
      </c>
      <c r="G382">
        <v>23.95</v>
      </c>
      <c r="H382">
        <v>23.52</v>
      </c>
      <c r="BJ382">
        <v>1</v>
      </c>
      <c r="BK382">
        <v>27</v>
      </c>
      <c r="BL382" t="s">
        <v>14</v>
      </c>
      <c r="BM382">
        <v>1</v>
      </c>
      <c r="BN382">
        <v>23.52</v>
      </c>
      <c r="BO382">
        <v>23.52</v>
      </c>
    </row>
    <row r="383" spans="1:67">
      <c r="A383">
        <v>24</v>
      </c>
      <c r="B383" t="s">
        <v>247</v>
      </c>
      <c r="C383">
        <v>105</v>
      </c>
      <c r="D383">
        <v>1</v>
      </c>
      <c r="E383">
        <v>44</v>
      </c>
      <c r="F383" t="s">
        <v>14</v>
      </c>
      <c r="G383">
        <v>19.28</v>
      </c>
      <c r="H383">
        <v>12.92</v>
      </c>
      <c r="BJ383">
        <v>1</v>
      </c>
      <c r="BK383">
        <v>44</v>
      </c>
      <c r="BL383" t="s">
        <v>14</v>
      </c>
      <c r="BM383">
        <v>1</v>
      </c>
      <c r="BN383">
        <v>12.92</v>
      </c>
      <c r="BO383">
        <v>12.92</v>
      </c>
    </row>
    <row r="384" spans="1:67">
      <c r="A384">
        <v>25</v>
      </c>
      <c r="B384" t="s">
        <v>248</v>
      </c>
      <c r="C384">
        <v>106</v>
      </c>
      <c r="D384">
        <v>1</v>
      </c>
      <c r="E384">
        <v>57</v>
      </c>
      <c r="F384" t="s">
        <v>14</v>
      </c>
      <c r="G384">
        <v>27.47</v>
      </c>
      <c r="H384">
        <v>26.97</v>
      </c>
      <c r="BJ384">
        <v>1</v>
      </c>
      <c r="BK384">
        <v>57</v>
      </c>
      <c r="BL384" t="s">
        <v>14</v>
      </c>
      <c r="BM384">
        <v>1</v>
      </c>
      <c r="BN384">
        <v>26.97</v>
      </c>
      <c r="BO384">
        <v>26.97</v>
      </c>
    </row>
    <row r="385" spans="1:67">
      <c r="A385">
        <v>26</v>
      </c>
      <c r="B385" t="s">
        <v>249</v>
      </c>
      <c r="C385">
        <v>107</v>
      </c>
      <c r="D385">
        <v>1</v>
      </c>
      <c r="E385">
        <v>67</v>
      </c>
      <c r="F385" t="s">
        <v>14</v>
      </c>
      <c r="G385">
        <v>11.31</v>
      </c>
      <c r="H385">
        <v>20.85</v>
      </c>
      <c r="BJ385">
        <v>1</v>
      </c>
      <c r="BK385">
        <v>67</v>
      </c>
      <c r="BL385" t="s">
        <v>14</v>
      </c>
      <c r="BM385">
        <v>1</v>
      </c>
      <c r="BN385">
        <v>20.85</v>
      </c>
      <c r="BO385">
        <v>20.85</v>
      </c>
    </row>
    <row r="386" spans="1:67">
      <c r="A386">
        <v>27</v>
      </c>
      <c r="B386" t="s">
        <v>250</v>
      </c>
      <c r="C386">
        <v>108</v>
      </c>
      <c r="D386">
        <v>2</v>
      </c>
      <c r="E386">
        <v>63</v>
      </c>
      <c r="F386" t="s">
        <v>14</v>
      </c>
      <c r="G386">
        <v>8.26</v>
      </c>
      <c r="H386">
        <v>18.43</v>
      </c>
      <c r="BJ386">
        <v>2</v>
      </c>
      <c r="BK386">
        <v>63</v>
      </c>
      <c r="BL386" t="s">
        <v>14</v>
      </c>
      <c r="BM386">
        <v>2</v>
      </c>
      <c r="BN386">
        <v>18.43</v>
      </c>
      <c r="BO386">
        <v>18.43</v>
      </c>
    </row>
    <row r="387" spans="1:67">
      <c r="A387">
        <v>1</v>
      </c>
      <c r="B387" t="s">
        <v>251</v>
      </c>
      <c r="C387">
        <v>109</v>
      </c>
      <c r="D387">
        <v>1</v>
      </c>
      <c r="E387">
        <v>32</v>
      </c>
      <c r="F387" t="s">
        <v>15</v>
      </c>
      <c r="G387">
        <v>16.600000000000001</v>
      </c>
      <c r="H387">
        <v>16.559999999999999</v>
      </c>
      <c r="BJ387">
        <v>1</v>
      </c>
      <c r="BK387">
        <v>32</v>
      </c>
      <c r="BL387" t="s">
        <v>15</v>
      </c>
      <c r="BM387">
        <v>1</v>
      </c>
      <c r="BN387">
        <v>16.559999999999999</v>
      </c>
      <c r="BO387">
        <v>16.559999999999999</v>
      </c>
    </row>
    <row r="388" spans="1:67">
      <c r="A388">
        <v>2</v>
      </c>
      <c r="B388" t="s">
        <v>252</v>
      </c>
      <c r="C388">
        <v>110</v>
      </c>
      <c r="D388">
        <v>1</v>
      </c>
      <c r="E388">
        <v>58</v>
      </c>
      <c r="F388" t="s">
        <v>15</v>
      </c>
      <c r="G388">
        <v>2.95</v>
      </c>
      <c r="H388">
        <v>6.29</v>
      </c>
      <c r="BJ388">
        <v>1</v>
      </c>
      <c r="BK388">
        <v>58</v>
      </c>
      <c r="BL388" t="s">
        <v>15</v>
      </c>
      <c r="BM388">
        <v>1</v>
      </c>
      <c r="BN388">
        <v>6.29</v>
      </c>
      <c r="BO388">
        <v>6.29</v>
      </c>
    </row>
    <row r="389" spans="1:67">
      <c r="A389">
        <v>3</v>
      </c>
      <c r="B389" t="s">
        <v>253</v>
      </c>
      <c r="C389">
        <v>111</v>
      </c>
      <c r="D389">
        <v>1</v>
      </c>
      <c r="E389">
        <v>44</v>
      </c>
      <c r="F389" t="s">
        <v>15</v>
      </c>
      <c r="G389">
        <v>7.49</v>
      </c>
      <c r="H389">
        <v>4.88</v>
      </c>
      <c r="BJ389">
        <v>1</v>
      </c>
      <c r="BK389">
        <v>44</v>
      </c>
      <c r="BL389" t="s">
        <v>15</v>
      </c>
      <c r="BM389">
        <v>1</v>
      </c>
      <c r="BN389">
        <v>4.88</v>
      </c>
      <c r="BO389">
        <v>4.88</v>
      </c>
    </row>
    <row r="390" spans="1:67">
      <c r="A390">
        <v>4</v>
      </c>
      <c r="B390" t="s">
        <v>254</v>
      </c>
      <c r="C390">
        <v>112</v>
      </c>
      <c r="D390">
        <v>1</v>
      </c>
      <c r="E390">
        <v>42</v>
      </c>
      <c r="F390" t="s">
        <v>15</v>
      </c>
      <c r="G390">
        <v>22.83</v>
      </c>
      <c r="H390">
        <v>20.2</v>
      </c>
      <c r="BJ390">
        <v>1</v>
      </c>
      <c r="BK390">
        <v>42</v>
      </c>
      <c r="BL390" t="s">
        <v>15</v>
      </c>
      <c r="BM390">
        <v>1</v>
      </c>
      <c r="BN390">
        <v>20.2</v>
      </c>
      <c r="BO390">
        <v>20.2</v>
      </c>
    </row>
    <row r="391" spans="1:67">
      <c r="A391">
        <v>5</v>
      </c>
      <c r="B391" t="s">
        <v>255</v>
      </c>
      <c r="C391">
        <v>113</v>
      </c>
      <c r="D391">
        <v>2</v>
      </c>
      <c r="E391">
        <v>29</v>
      </c>
      <c r="F391" t="s">
        <v>15</v>
      </c>
      <c r="G391">
        <v>26.15</v>
      </c>
      <c r="H391">
        <v>23.46</v>
      </c>
      <c r="BJ391">
        <v>2</v>
      </c>
      <c r="BK391">
        <v>29</v>
      </c>
      <c r="BL391" t="s">
        <v>15</v>
      </c>
      <c r="BM391">
        <v>2</v>
      </c>
      <c r="BN391">
        <v>23.46</v>
      </c>
      <c r="BO391">
        <v>23.46</v>
      </c>
    </row>
    <row r="392" spans="1:67">
      <c r="A392">
        <v>6</v>
      </c>
      <c r="B392" t="s">
        <v>256</v>
      </c>
      <c r="C392">
        <v>114</v>
      </c>
      <c r="D392">
        <v>1</v>
      </c>
      <c r="E392">
        <v>25</v>
      </c>
      <c r="F392" t="s">
        <v>15</v>
      </c>
      <c r="G392">
        <v>2.95</v>
      </c>
      <c r="H392">
        <v>6.29</v>
      </c>
      <c r="BJ392">
        <v>1</v>
      </c>
      <c r="BK392">
        <v>25</v>
      </c>
      <c r="BL392" t="s">
        <v>15</v>
      </c>
      <c r="BM392">
        <v>1</v>
      </c>
      <c r="BN392">
        <v>6.29</v>
      </c>
      <c r="BO392">
        <v>6.29</v>
      </c>
    </row>
    <row r="393" spans="1:67">
      <c r="A393">
        <v>7</v>
      </c>
      <c r="B393" t="s">
        <v>257</v>
      </c>
      <c r="C393">
        <v>115</v>
      </c>
      <c r="D393">
        <v>1</v>
      </c>
      <c r="E393">
        <v>32</v>
      </c>
      <c r="F393" t="s">
        <v>15</v>
      </c>
      <c r="G393">
        <v>6.54</v>
      </c>
      <c r="H393">
        <v>5.25</v>
      </c>
      <c r="BJ393">
        <v>1</v>
      </c>
      <c r="BK393">
        <v>32</v>
      </c>
      <c r="BL393" t="s">
        <v>15</v>
      </c>
      <c r="BM393">
        <v>1</v>
      </c>
      <c r="BN393">
        <v>5.25</v>
      </c>
      <c r="BO393">
        <v>5.25</v>
      </c>
    </row>
    <row r="394" spans="1:67">
      <c r="A394">
        <v>8</v>
      </c>
      <c r="B394" t="s">
        <v>258</v>
      </c>
      <c r="C394">
        <v>116</v>
      </c>
      <c r="D394">
        <v>1</v>
      </c>
      <c r="E394">
        <v>23</v>
      </c>
      <c r="F394" t="s">
        <v>15</v>
      </c>
      <c r="G394">
        <v>17.62</v>
      </c>
      <c r="H394">
        <v>9.7100000000000009</v>
      </c>
      <c r="BJ394">
        <v>1</v>
      </c>
      <c r="BK394">
        <v>23</v>
      </c>
      <c r="BL394" t="s">
        <v>15</v>
      </c>
      <c r="BM394">
        <v>1</v>
      </c>
      <c r="BN394">
        <v>9.7100000000000009</v>
      </c>
      <c r="BO394">
        <v>9.7100000000000009</v>
      </c>
    </row>
    <row r="395" spans="1:67">
      <c r="A395">
        <v>9</v>
      </c>
      <c r="B395" t="s">
        <v>259</v>
      </c>
      <c r="C395">
        <v>117</v>
      </c>
      <c r="D395">
        <v>2</v>
      </c>
      <c r="E395">
        <v>59</v>
      </c>
      <c r="F395" t="s">
        <v>15</v>
      </c>
      <c r="G395">
        <v>16.920000000000002</v>
      </c>
      <c r="H395">
        <v>24.8</v>
      </c>
      <c r="BJ395">
        <v>2</v>
      </c>
      <c r="BK395">
        <v>59</v>
      </c>
      <c r="BL395" t="s">
        <v>15</v>
      </c>
      <c r="BM395">
        <v>2</v>
      </c>
      <c r="BN395">
        <v>24.8</v>
      </c>
      <c r="BO395">
        <v>24.8</v>
      </c>
    </row>
    <row r="396" spans="1:67">
      <c r="A396">
        <v>10</v>
      </c>
      <c r="B396" t="s">
        <v>260</v>
      </c>
      <c r="C396">
        <v>118</v>
      </c>
      <c r="D396">
        <v>1</v>
      </c>
      <c r="E396">
        <v>34</v>
      </c>
      <c r="F396" t="s">
        <v>15</v>
      </c>
      <c r="G396">
        <v>15.04</v>
      </c>
      <c r="H396">
        <v>19.87</v>
      </c>
      <c r="BJ396">
        <v>1</v>
      </c>
      <c r="BK396">
        <v>34</v>
      </c>
      <c r="BL396" t="s">
        <v>15</v>
      </c>
      <c r="BM396">
        <v>1</v>
      </c>
      <c r="BN396">
        <v>19.87</v>
      </c>
      <c r="BO396">
        <v>19.87</v>
      </c>
    </row>
    <row r="397" spans="1:67">
      <c r="A397">
        <v>11</v>
      </c>
      <c r="B397" t="s">
        <v>261</v>
      </c>
      <c r="C397">
        <v>119</v>
      </c>
      <c r="D397">
        <v>1</v>
      </c>
      <c r="E397">
        <v>66</v>
      </c>
      <c r="F397" t="s">
        <v>15</v>
      </c>
      <c r="G397">
        <v>17.68</v>
      </c>
      <c r="H397">
        <v>18.86</v>
      </c>
      <c r="BJ397">
        <v>1</v>
      </c>
      <c r="BK397">
        <v>66</v>
      </c>
      <c r="BL397" t="s">
        <v>15</v>
      </c>
      <c r="BM397">
        <v>1</v>
      </c>
      <c r="BN397">
        <v>18.86</v>
      </c>
      <c r="BO397">
        <v>18.86</v>
      </c>
    </row>
    <row r="398" spans="1:67">
      <c r="A398">
        <v>12</v>
      </c>
      <c r="B398" t="s">
        <v>262</v>
      </c>
      <c r="C398">
        <v>120</v>
      </c>
      <c r="D398">
        <v>2</v>
      </c>
      <c r="E398">
        <v>21</v>
      </c>
      <c r="F398" t="s">
        <v>15</v>
      </c>
      <c r="G398">
        <v>22.61</v>
      </c>
      <c r="H398">
        <v>23.98</v>
      </c>
      <c r="BJ398">
        <v>2</v>
      </c>
      <c r="BK398">
        <v>21</v>
      </c>
      <c r="BL398" t="s">
        <v>15</v>
      </c>
      <c r="BM398">
        <v>2</v>
      </c>
      <c r="BN398">
        <v>23.98</v>
      </c>
      <c r="BO398">
        <v>23.98</v>
      </c>
    </row>
    <row r="399" spans="1:67">
      <c r="A399">
        <v>13</v>
      </c>
      <c r="B399" t="s">
        <v>263</v>
      </c>
      <c r="C399">
        <v>121</v>
      </c>
      <c r="D399">
        <v>1</v>
      </c>
      <c r="E399">
        <v>22</v>
      </c>
      <c r="F399" t="s">
        <v>15</v>
      </c>
      <c r="G399">
        <v>25.49</v>
      </c>
      <c r="H399">
        <v>24.65</v>
      </c>
      <c r="BJ399">
        <v>1</v>
      </c>
      <c r="BK399">
        <v>22</v>
      </c>
      <c r="BL399" t="s">
        <v>15</v>
      </c>
      <c r="BM399">
        <v>1</v>
      </c>
      <c r="BN399">
        <v>24.65</v>
      </c>
      <c r="BO399">
        <v>24.65</v>
      </c>
    </row>
    <row r="400" spans="1:67">
      <c r="A400">
        <v>14</v>
      </c>
      <c r="B400" t="s">
        <v>264</v>
      </c>
      <c r="C400">
        <v>122</v>
      </c>
      <c r="D400">
        <v>1</v>
      </c>
      <c r="E400">
        <v>38</v>
      </c>
      <c r="F400" t="s">
        <v>15</v>
      </c>
      <c r="G400">
        <v>13.39</v>
      </c>
      <c r="H400">
        <v>18.95</v>
      </c>
      <c r="BJ400">
        <v>1</v>
      </c>
      <c r="BK400">
        <v>38</v>
      </c>
      <c r="BL400" t="s">
        <v>15</v>
      </c>
      <c r="BM400">
        <v>1</v>
      </c>
      <c r="BN400">
        <v>18.95</v>
      </c>
      <c r="BO400">
        <v>18.95</v>
      </c>
    </row>
    <row r="401" spans="1:67">
      <c r="A401">
        <v>15</v>
      </c>
      <c r="B401" t="s">
        <v>265</v>
      </c>
      <c r="C401">
        <v>123</v>
      </c>
      <c r="D401">
        <v>1</v>
      </c>
      <c r="E401">
        <v>56</v>
      </c>
      <c r="F401" t="s">
        <v>15</v>
      </c>
      <c r="G401">
        <v>33.1</v>
      </c>
      <c r="H401">
        <v>27.18</v>
      </c>
      <c r="BJ401">
        <v>1</v>
      </c>
      <c r="BK401">
        <v>56</v>
      </c>
      <c r="BL401" t="s">
        <v>15</v>
      </c>
      <c r="BM401">
        <v>1</v>
      </c>
      <c r="BN401">
        <v>27.18</v>
      </c>
      <c r="BO401">
        <v>27.18</v>
      </c>
    </row>
    <row r="402" spans="1:67">
      <c r="A402">
        <v>16</v>
      </c>
      <c r="B402" t="s">
        <v>266</v>
      </c>
      <c r="C402">
        <v>124</v>
      </c>
      <c r="D402">
        <v>1</v>
      </c>
      <c r="E402">
        <v>39</v>
      </c>
      <c r="F402" t="s">
        <v>15</v>
      </c>
      <c r="G402">
        <v>21.67</v>
      </c>
      <c r="H402">
        <v>29.21</v>
      </c>
      <c r="BJ402">
        <v>1</v>
      </c>
      <c r="BK402">
        <v>39</v>
      </c>
      <c r="BL402" t="s">
        <v>15</v>
      </c>
      <c r="BM402">
        <v>1</v>
      </c>
      <c r="BN402">
        <v>29.21</v>
      </c>
      <c r="BO402">
        <v>29.21</v>
      </c>
    </row>
    <row r="403" spans="1:67">
      <c r="A403">
        <v>17</v>
      </c>
      <c r="B403" t="s">
        <v>267</v>
      </c>
      <c r="C403">
        <v>125</v>
      </c>
      <c r="D403">
        <v>2</v>
      </c>
      <c r="E403">
        <v>28</v>
      </c>
      <c r="F403" t="s">
        <v>15</v>
      </c>
      <c r="G403">
        <v>29.94</v>
      </c>
      <c r="H403">
        <v>22.08</v>
      </c>
      <c r="BJ403">
        <v>2</v>
      </c>
      <c r="BK403">
        <v>28</v>
      </c>
      <c r="BL403" t="s">
        <v>15</v>
      </c>
      <c r="BM403">
        <v>2</v>
      </c>
      <c r="BN403">
        <v>22.08</v>
      </c>
      <c r="BO403">
        <v>22.08</v>
      </c>
    </row>
    <row r="404" spans="1:67">
      <c r="A404">
        <v>18</v>
      </c>
      <c r="B404" t="s">
        <v>268</v>
      </c>
      <c r="C404">
        <v>126</v>
      </c>
      <c r="D404">
        <v>2</v>
      </c>
      <c r="E404">
        <v>38</v>
      </c>
      <c r="F404" t="s">
        <v>15</v>
      </c>
      <c r="G404">
        <v>27.89</v>
      </c>
      <c r="H404">
        <v>34.479999999999997</v>
      </c>
      <c r="BJ404">
        <v>2</v>
      </c>
      <c r="BK404">
        <v>38</v>
      </c>
      <c r="BL404" t="s">
        <v>15</v>
      </c>
      <c r="BM404">
        <v>2</v>
      </c>
      <c r="BN404">
        <v>34.479999999999997</v>
      </c>
      <c r="BO404">
        <v>34.479999999999997</v>
      </c>
    </row>
    <row r="405" spans="1:67">
      <c r="A405">
        <v>19</v>
      </c>
      <c r="B405" t="s">
        <v>269</v>
      </c>
      <c r="C405">
        <v>127</v>
      </c>
      <c r="D405">
        <v>2</v>
      </c>
      <c r="E405">
        <v>41</v>
      </c>
      <c r="F405" t="s">
        <v>15</v>
      </c>
      <c r="G405">
        <v>31.99</v>
      </c>
      <c r="H405">
        <v>32.549999999999997</v>
      </c>
      <c r="BJ405">
        <v>2</v>
      </c>
      <c r="BK405">
        <v>41</v>
      </c>
      <c r="BL405" t="s">
        <v>15</v>
      </c>
      <c r="BM405">
        <v>2</v>
      </c>
      <c r="BN405">
        <v>32.549999999999997</v>
      </c>
      <c r="BO405">
        <v>32.549999999999997</v>
      </c>
    </row>
    <row r="406" spans="1:67">
      <c r="A406">
        <v>20</v>
      </c>
      <c r="B406" t="s">
        <v>270</v>
      </c>
      <c r="C406">
        <v>128</v>
      </c>
      <c r="D406">
        <v>1</v>
      </c>
      <c r="E406">
        <v>56</v>
      </c>
      <c r="F406" t="s">
        <v>15</v>
      </c>
      <c r="G406">
        <v>32.96</v>
      </c>
      <c r="H406">
        <v>31.86</v>
      </c>
      <c r="BJ406">
        <v>1</v>
      </c>
      <c r="BK406">
        <v>56</v>
      </c>
      <c r="BL406" t="s">
        <v>15</v>
      </c>
      <c r="BM406">
        <v>1</v>
      </c>
      <c r="BN406">
        <v>31.86</v>
      </c>
      <c r="BO406">
        <v>31.86</v>
      </c>
    </row>
    <row r="407" spans="1:67">
      <c r="A407">
        <v>21</v>
      </c>
      <c r="B407" t="s">
        <v>271</v>
      </c>
      <c r="C407">
        <v>129</v>
      </c>
      <c r="D407">
        <v>2</v>
      </c>
      <c r="E407">
        <v>31</v>
      </c>
      <c r="F407" t="s">
        <v>15</v>
      </c>
      <c r="G407">
        <v>8.9</v>
      </c>
      <c r="H407">
        <v>19.920000000000002</v>
      </c>
      <c r="BJ407">
        <v>2</v>
      </c>
      <c r="BK407">
        <v>31</v>
      </c>
      <c r="BL407" t="s">
        <v>15</v>
      </c>
      <c r="BM407">
        <v>2</v>
      </c>
      <c r="BN407">
        <v>19.920000000000002</v>
      </c>
      <c r="BO407">
        <v>19.920000000000002</v>
      </c>
    </row>
    <row r="408" spans="1:67">
      <c r="A408">
        <v>22</v>
      </c>
      <c r="B408" t="s">
        <v>272</v>
      </c>
      <c r="C408">
        <v>130</v>
      </c>
      <c r="D408">
        <v>1</v>
      </c>
      <c r="E408">
        <v>38</v>
      </c>
      <c r="F408" t="s">
        <v>15</v>
      </c>
      <c r="G408">
        <v>12.52</v>
      </c>
      <c r="H408">
        <v>13.29</v>
      </c>
      <c r="BJ408">
        <v>1</v>
      </c>
      <c r="BK408">
        <v>38</v>
      </c>
      <c r="BL408" t="s">
        <v>15</v>
      </c>
      <c r="BM408">
        <v>1</v>
      </c>
      <c r="BN408">
        <v>13.29</v>
      </c>
      <c r="BO408">
        <v>13.29</v>
      </c>
    </row>
    <row r="409" spans="1:67">
      <c r="A409">
        <v>23</v>
      </c>
      <c r="B409" t="s">
        <v>273</v>
      </c>
      <c r="C409">
        <v>131</v>
      </c>
      <c r="D409">
        <v>2</v>
      </c>
      <c r="E409">
        <v>40</v>
      </c>
      <c r="F409" t="s">
        <v>15</v>
      </c>
      <c r="G409">
        <v>32.85</v>
      </c>
      <c r="H409">
        <v>24.17</v>
      </c>
      <c r="BJ409">
        <v>2</v>
      </c>
      <c r="BK409">
        <v>40</v>
      </c>
      <c r="BL409" t="s">
        <v>15</v>
      </c>
      <c r="BM409">
        <v>2</v>
      </c>
      <c r="BN409">
        <v>24.17</v>
      </c>
      <c r="BO409">
        <v>24.17</v>
      </c>
    </row>
    <row r="410" spans="1:67">
      <c r="A410">
        <v>24</v>
      </c>
      <c r="B410" t="s">
        <v>274</v>
      </c>
      <c r="C410">
        <v>132</v>
      </c>
      <c r="D410">
        <v>2</v>
      </c>
      <c r="E410">
        <v>31</v>
      </c>
      <c r="F410" t="s">
        <v>15</v>
      </c>
      <c r="G410">
        <v>28.43</v>
      </c>
      <c r="H410">
        <v>25.59</v>
      </c>
      <c r="BJ410">
        <v>2</v>
      </c>
      <c r="BK410">
        <v>31</v>
      </c>
      <c r="BL410" t="s">
        <v>15</v>
      </c>
      <c r="BM410">
        <v>2</v>
      </c>
      <c r="BN410">
        <v>25.59</v>
      </c>
      <c r="BO410">
        <v>25.59</v>
      </c>
    </row>
    <row r="411" spans="1:67">
      <c r="A411">
        <v>25</v>
      </c>
      <c r="B411" t="s">
        <v>275</v>
      </c>
      <c r="C411">
        <v>133</v>
      </c>
      <c r="D411">
        <v>2</v>
      </c>
      <c r="E411">
        <v>28</v>
      </c>
      <c r="F411" t="s">
        <v>15</v>
      </c>
      <c r="G411">
        <v>30.12</v>
      </c>
      <c r="H411">
        <v>23.83</v>
      </c>
      <c r="BJ411">
        <v>2</v>
      </c>
      <c r="BK411">
        <v>28</v>
      </c>
      <c r="BL411" t="s">
        <v>15</v>
      </c>
      <c r="BM411">
        <v>2</v>
      </c>
      <c r="BN411">
        <v>23.83</v>
      </c>
      <c r="BO411">
        <v>23.83</v>
      </c>
    </row>
    <row r="412" spans="1:67">
      <c r="A412">
        <v>26</v>
      </c>
      <c r="B412" t="s">
        <v>276</v>
      </c>
      <c r="C412">
        <v>134</v>
      </c>
      <c r="D412">
        <v>1</v>
      </c>
      <c r="E412">
        <v>39</v>
      </c>
      <c r="F412" t="s">
        <v>15</v>
      </c>
      <c r="G412">
        <v>26.43</v>
      </c>
      <c r="H412">
        <v>34.58</v>
      </c>
      <c r="BJ412">
        <v>1</v>
      </c>
      <c r="BK412">
        <v>39</v>
      </c>
      <c r="BL412" t="s">
        <v>15</v>
      </c>
      <c r="BM412">
        <v>1</v>
      </c>
      <c r="BN412">
        <v>34.58</v>
      </c>
      <c r="BO412">
        <v>34.58</v>
      </c>
    </row>
    <row r="413" spans="1:67">
      <c r="A413">
        <v>27</v>
      </c>
      <c r="B413" t="s">
        <v>277</v>
      </c>
      <c r="C413">
        <v>135</v>
      </c>
      <c r="D413">
        <v>1</v>
      </c>
      <c r="E413">
        <v>38</v>
      </c>
      <c r="F413" t="s">
        <v>15</v>
      </c>
      <c r="G413">
        <v>26.48</v>
      </c>
      <c r="H413">
        <v>17.920000000000002</v>
      </c>
      <c r="BJ413">
        <v>1</v>
      </c>
      <c r="BK413">
        <v>38</v>
      </c>
      <c r="BL413" t="s">
        <v>15</v>
      </c>
      <c r="BM413">
        <v>1</v>
      </c>
      <c r="BN413">
        <v>17.920000000000002</v>
      </c>
      <c r="BO413">
        <v>17.920000000000002</v>
      </c>
    </row>
  </sheetData>
  <sortState xmlns:xlrd2="http://schemas.microsoft.com/office/spreadsheetml/2017/richdata2" ref="BJ2:BO28">
    <sortCondition ref="BJ2:BJ28"/>
  </sortState>
  <mergeCells count="8">
    <mergeCell ref="CT2:CV2"/>
    <mergeCell ref="CP2:CR2"/>
    <mergeCell ref="DB2:DF2"/>
    <mergeCell ref="DE3:DE4"/>
    <mergeCell ref="DF3:DF4"/>
    <mergeCell ref="CZ3:CZ4"/>
    <mergeCell ref="DA3:DA4"/>
    <mergeCell ref="CW2:DA2"/>
  </mergeCell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01068-DDA2-47A2-8555-C82D84A25BE4}">
  <dimension ref="A1:BB413"/>
  <sheetViews>
    <sheetView topLeftCell="F278" zoomScale="70" zoomScaleNormal="70" workbookViewId="0">
      <selection activeCell="R280" sqref="R280:V307"/>
    </sheetView>
  </sheetViews>
  <sheetFormatPr defaultColWidth="11.42578125" defaultRowHeight="15"/>
  <cols>
    <col min="1" max="3" width="11.42578125" style="4"/>
    <col min="4" max="4" width="11.42578125" style="5"/>
    <col min="5" max="10" width="11.42578125" style="4"/>
    <col min="11" max="11" width="27" style="4" customWidth="1"/>
    <col min="12" max="16384" width="11.42578125" style="4"/>
  </cols>
  <sheetData>
    <row r="1" spans="1:54" ht="15.75">
      <c r="A1" s="4" t="s">
        <v>51</v>
      </c>
      <c r="B1" s="4" t="s">
        <v>52</v>
      </c>
      <c r="C1" s="4" t="s">
        <v>53</v>
      </c>
      <c r="D1" s="5" t="s">
        <v>54</v>
      </c>
      <c r="E1" s="4" t="s">
        <v>55</v>
      </c>
      <c r="F1" s="4" t="s">
        <v>56</v>
      </c>
      <c r="G1" s="4" t="s">
        <v>22</v>
      </c>
      <c r="H1" s="4" t="s">
        <v>37</v>
      </c>
      <c r="J1" s="4" t="s">
        <v>57</v>
      </c>
      <c r="K1" s="11" t="s">
        <v>58</v>
      </c>
    </row>
    <row r="2" spans="1:54" ht="15.75">
      <c r="A2" s="4">
        <v>1</v>
      </c>
      <c r="B2" s="4" t="s">
        <v>60</v>
      </c>
      <c r="C2" s="4">
        <v>1</v>
      </c>
      <c r="D2" s="6">
        <v>1</v>
      </c>
      <c r="E2" s="4">
        <f ca="1">RANDBETWEEN(18,70)</f>
        <v>25</v>
      </c>
      <c r="F2" s="4" t="s">
        <v>11</v>
      </c>
      <c r="G2" s="7">
        <v>17.600000000000001</v>
      </c>
      <c r="H2" s="7">
        <v>17.8</v>
      </c>
      <c r="J2" s="4" t="s">
        <v>61</v>
      </c>
      <c r="K2" s="12" t="s">
        <v>62</v>
      </c>
    </row>
    <row r="3" spans="1:54" ht="60">
      <c r="A3" s="4">
        <v>2</v>
      </c>
      <c r="B3" s="4" t="s">
        <v>64</v>
      </c>
      <c r="C3" s="4">
        <v>2</v>
      </c>
      <c r="D3" s="6">
        <v>2</v>
      </c>
      <c r="E3" s="4">
        <f t="shared" ref="E3:E66" ca="1" si="0">RANDBETWEEN(18,70)</f>
        <v>70</v>
      </c>
      <c r="F3" s="4" t="s">
        <v>11</v>
      </c>
      <c r="G3" s="7">
        <v>19</v>
      </c>
      <c r="H3" s="7">
        <v>18</v>
      </c>
      <c r="J3" s="4" t="s">
        <v>65</v>
      </c>
      <c r="K3" s="1" t="s">
        <v>66</v>
      </c>
    </row>
    <row r="4" spans="1:54">
      <c r="A4" s="4">
        <v>3</v>
      </c>
      <c r="B4" s="4" t="s">
        <v>68</v>
      </c>
      <c r="C4" s="4">
        <v>3</v>
      </c>
      <c r="D4" s="6">
        <v>2</v>
      </c>
      <c r="E4" s="4">
        <f t="shared" ca="1" si="0"/>
        <v>51</v>
      </c>
      <c r="F4" s="4" t="s">
        <v>11</v>
      </c>
      <c r="G4" s="8">
        <v>19.3</v>
      </c>
      <c r="H4" s="8">
        <v>19</v>
      </c>
      <c r="K4" s="1"/>
    </row>
    <row r="5" spans="1:54" ht="15.75">
      <c r="A5" s="4">
        <v>4</v>
      </c>
      <c r="B5" s="4" t="s">
        <v>73</v>
      </c>
      <c r="C5" s="4">
        <v>4</v>
      </c>
      <c r="D5" s="6">
        <v>2</v>
      </c>
      <c r="E5" s="4">
        <f t="shared" ca="1" si="0"/>
        <v>65</v>
      </c>
      <c r="F5" s="4" t="s">
        <v>11</v>
      </c>
      <c r="G5" s="8">
        <v>13.9</v>
      </c>
      <c r="H5" s="8">
        <v>14</v>
      </c>
      <c r="K5" s="12" t="s">
        <v>74</v>
      </c>
    </row>
    <row r="6" spans="1:54" ht="15.75">
      <c r="A6" s="4">
        <v>5</v>
      </c>
      <c r="B6" s="4" t="s">
        <v>81</v>
      </c>
      <c r="C6" s="4">
        <v>5</v>
      </c>
      <c r="D6" s="6">
        <v>2</v>
      </c>
      <c r="E6" s="4">
        <f t="shared" ca="1" si="0"/>
        <v>18</v>
      </c>
      <c r="F6" s="4" t="s">
        <v>11</v>
      </c>
      <c r="G6" s="8">
        <v>21.5</v>
      </c>
      <c r="H6" s="8">
        <v>20.9</v>
      </c>
      <c r="K6" s="13" t="s">
        <v>310</v>
      </c>
    </row>
    <row r="7" spans="1:54" ht="15.75">
      <c r="A7" s="4">
        <v>6</v>
      </c>
      <c r="B7" s="4" t="s">
        <v>84</v>
      </c>
      <c r="C7" s="4">
        <v>6</v>
      </c>
      <c r="D7" s="6">
        <v>1</v>
      </c>
      <c r="E7" s="4">
        <f t="shared" ca="1" si="0"/>
        <v>52</v>
      </c>
      <c r="F7" s="4" t="s">
        <v>11</v>
      </c>
      <c r="G7" s="8">
        <v>14.5</v>
      </c>
      <c r="H7" s="8">
        <v>14.1</v>
      </c>
      <c r="K7" s="13" t="s">
        <v>311</v>
      </c>
    </row>
    <row r="8" spans="1:54" ht="15.75">
      <c r="A8" s="4">
        <v>7</v>
      </c>
      <c r="B8" s="4" t="s">
        <v>87</v>
      </c>
      <c r="C8" s="4">
        <v>7</v>
      </c>
      <c r="D8" s="6">
        <v>2</v>
      </c>
      <c r="E8" s="4">
        <f t="shared" ca="1" si="0"/>
        <v>51</v>
      </c>
      <c r="F8" s="4" t="s">
        <v>11</v>
      </c>
      <c r="G8" s="8">
        <v>15.4</v>
      </c>
      <c r="H8" s="8">
        <v>14.6</v>
      </c>
      <c r="K8" s="13" t="s">
        <v>312</v>
      </c>
    </row>
    <row r="9" spans="1:54" ht="15.75">
      <c r="A9" s="4">
        <v>8</v>
      </c>
      <c r="B9" s="4" t="s">
        <v>90</v>
      </c>
      <c r="C9" s="4">
        <v>8</v>
      </c>
      <c r="D9" s="6">
        <v>1</v>
      </c>
      <c r="E9" s="4">
        <f t="shared" ca="1" si="0"/>
        <v>35</v>
      </c>
      <c r="F9" s="4" t="s">
        <v>11</v>
      </c>
      <c r="G9" s="8">
        <v>17.8</v>
      </c>
      <c r="H9" s="8">
        <v>17.600000000000001</v>
      </c>
      <c r="K9" s="13" t="s">
        <v>313</v>
      </c>
    </row>
    <row r="10" spans="1:54">
      <c r="A10" s="4">
        <v>9</v>
      </c>
      <c r="B10" s="4" t="s">
        <v>93</v>
      </c>
      <c r="C10" s="4">
        <v>9</v>
      </c>
      <c r="D10" s="6">
        <v>1</v>
      </c>
      <c r="E10" s="4">
        <f t="shared" ca="1" si="0"/>
        <v>51</v>
      </c>
      <c r="F10" s="4" t="s">
        <v>11</v>
      </c>
      <c r="G10" s="8">
        <v>22</v>
      </c>
      <c r="H10" s="8">
        <v>22.3</v>
      </c>
    </row>
    <row r="11" spans="1:54">
      <c r="A11" s="4">
        <v>10</v>
      </c>
      <c r="B11" s="4" t="s">
        <v>94</v>
      </c>
      <c r="C11" s="4">
        <v>10</v>
      </c>
      <c r="D11" s="6">
        <v>2</v>
      </c>
      <c r="E11" s="4">
        <f t="shared" ca="1" si="0"/>
        <v>40</v>
      </c>
      <c r="F11" s="4" t="s">
        <v>11</v>
      </c>
      <c r="G11" s="8">
        <v>16.100000000000001</v>
      </c>
      <c r="H11" s="8">
        <v>15.4</v>
      </c>
    </row>
    <row r="12" spans="1:54">
      <c r="A12" s="4">
        <v>11</v>
      </c>
      <c r="B12" s="4" t="s">
        <v>95</v>
      </c>
      <c r="C12" s="4">
        <v>11</v>
      </c>
      <c r="D12" s="6">
        <v>2</v>
      </c>
      <c r="E12" s="4">
        <f t="shared" ca="1" si="0"/>
        <v>25</v>
      </c>
      <c r="F12" s="4" t="s">
        <v>11</v>
      </c>
      <c r="G12" s="8">
        <v>18.5</v>
      </c>
      <c r="H12" s="8">
        <v>18.2</v>
      </c>
    </row>
    <row r="13" spans="1:54">
      <c r="A13" s="4">
        <v>12</v>
      </c>
      <c r="B13" s="4" t="s">
        <v>97</v>
      </c>
      <c r="C13" s="4">
        <v>12</v>
      </c>
      <c r="D13" s="6">
        <v>2</v>
      </c>
      <c r="E13" s="4">
        <f t="shared" ca="1" si="0"/>
        <v>48</v>
      </c>
      <c r="F13" s="4" t="s">
        <v>11</v>
      </c>
      <c r="G13" s="8">
        <v>14.6</v>
      </c>
      <c r="H13" s="8">
        <v>15.2</v>
      </c>
      <c r="J13" s="4" t="s">
        <v>19</v>
      </c>
      <c r="R13" s="4" t="s">
        <v>98</v>
      </c>
      <c r="U13" s="4" t="s">
        <v>99</v>
      </c>
      <c r="X13" s="4" t="s">
        <v>38</v>
      </c>
      <c r="AH13" s="4" t="s">
        <v>100</v>
      </c>
      <c r="AN13" s="4" t="s">
        <v>101</v>
      </c>
      <c r="AQ13" s="4" t="s">
        <v>102</v>
      </c>
    </row>
    <row r="14" spans="1:54" ht="15.75" thickBot="1">
      <c r="A14" s="4">
        <v>13</v>
      </c>
      <c r="B14" s="4" t="s">
        <v>104</v>
      </c>
      <c r="C14" s="4">
        <v>13</v>
      </c>
      <c r="D14" s="6">
        <v>1</v>
      </c>
      <c r="E14" s="4">
        <f t="shared" ca="1" si="0"/>
        <v>23</v>
      </c>
      <c r="F14" s="4" t="s">
        <v>11</v>
      </c>
      <c r="G14" s="8">
        <v>20.8</v>
      </c>
      <c r="H14" s="8">
        <v>20.6</v>
      </c>
      <c r="I14" s="9"/>
      <c r="J14" s="14"/>
      <c r="K14" s="14"/>
      <c r="L14" s="14"/>
      <c r="M14" s="14"/>
      <c r="N14" s="14"/>
      <c r="O14" s="14"/>
      <c r="P14" s="14"/>
    </row>
    <row r="15" spans="1:54" ht="15.75" thickTop="1">
      <c r="A15" s="4">
        <v>14</v>
      </c>
      <c r="B15" s="4" t="s">
        <v>106</v>
      </c>
      <c r="C15" s="4">
        <v>14</v>
      </c>
      <c r="D15" s="6">
        <v>2</v>
      </c>
      <c r="E15" s="4">
        <f t="shared" ca="1" si="0"/>
        <v>38</v>
      </c>
      <c r="F15" s="4" t="s">
        <v>11</v>
      </c>
      <c r="G15" s="8">
        <v>23</v>
      </c>
      <c r="H15" s="8">
        <v>24.5</v>
      </c>
      <c r="J15" s="15"/>
      <c r="K15" s="15" t="s">
        <v>107</v>
      </c>
      <c r="L15" s="15" t="s">
        <v>78</v>
      </c>
      <c r="M15" s="15" t="s">
        <v>108</v>
      </c>
      <c r="N15" s="15" t="s">
        <v>109</v>
      </c>
      <c r="O15" s="15" t="s">
        <v>23</v>
      </c>
      <c r="P15" s="15" t="s">
        <v>110</v>
      </c>
      <c r="R15" s="4" t="s">
        <v>111</v>
      </c>
      <c r="U15" s="4" t="s">
        <v>11</v>
      </c>
      <c r="X15" s="4" t="s">
        <v>112</v>
      </c>
      <c r="AA15" s="4" t="str">
        <f>G1</f>
        <v>ang der</v>
      </c>
      <c r="AH15" s="4" t="s">
        <v>113</v>
      </c>
      <c r="AI15" s="4" t="s">
        <v>23</v>
      </c>
      <c r="AK15" s="4" t="s">
        <v>114</v>
      </c>
      <c r="AN15" s="4" t="s">
        <v>115</v>
      </c>
      <c r="AO15" s="25">
        <f>[1]!BOXM(F2:H136)</f>
        <v>80.132932017900913</v>
      </c>
      <c r="AR15" s="4" t="str">
        <f t="array" ref="AR15:AS15">$G$1:$H$1</f>
        <v>ang der</v>
      </c>
      <c r="AS15" s="4" t="str">
        <v>ang izq</v>
      </c>
      <c r="AT15" s="4" t="s">
        <v>116</v>
      </c>
      <c r="AV15" s="4" t="s">
        <v>117</v>
      </c>
      <c r="AX15" s="4" t="s">
        <v>118</v>
      </c>
      <c r="BA15" s="4" t="s">
        <v>119</v>
      </c>
      <c r="BB15" s="25">
        <f>MDETERM(AX20:AY21)/MDETERM(AX16:AY17+AX20:AY21)</f>
        <v>0.9780332909456052</v>
      </c>
    </row>
    <row r="16" spans="1:54">
      <c r="A16" s="4">
        <v>15</v>
      </c>
      <c r="B16" s="4" t="s">
        <v>121</v>
      </c>
      <c r="C16" s="4">
        <v>15</v>
      </c>
      <c r="D16" s="6">
        <v>1</v>
      </c>
      <c r="E16" s="4">
        <f t="shared" ca="1" si="0"/>
        <v>63</v>
      </c>
      <c r="F16" s="4" t="s">
        <v>11</v>
      </c>
      <c r="G16" s="8">
        <v>19.3</v>
      </c>
      <c r="H16" s="8">
        <v>20.399999999999999</v>
      </c>
      <c r="J16" s="4" t="s">
        <v>27</v>
      </c>
      <c r="K16" s="4">
        <f>[1]!MANOVA_PillaiTrace(F2:H136)</f>
        <v>0.31896862935701376</v>
      </c>
      <c r="L16" s="4">
        <f>[1]!MANOVA_PillaiF(F2:H136)</f>
        <v>6.1667382507786392</v>
      </c>
      <c r="M16" s="4">
        <f>[1]!MANOVA_Pillaidf1(F2:H136)</f>
        <v>8</v>
      </c>
      <c r="N16" s="4">
        <f>[1]!MANOVA_Pillaidf2(F2:H136)</f>
        <v>260</v>
      </c>
      <c r="O16" s="4">
        <f>[1]!F_DIST_RT(L16,M16,N16)</f>
        <v>2.7290289206227669E-7</v>
      </c>
      <c r="P16" s="4">
        <f>L16*M16/(L16*M16+N16)</f>
        <v>0.15948431467850691</v>
      </c>
      <c r="R16" s="16">
        <f t="array" ref="R16:S17">[1]!COVP(G2:H136)*COUNT(G2:G136)</f>
        <v>12350.1032</v>
      </c>
      <c r="S16" s="17">
        <v>8616.9726999999984</v>
      </c>
      <c r="U16" s="16">
        <f t="array" ref="U16:V17">[1]!ExtractCov(F2:H136,U15)</f>
        <v>13.484102564102566</v>
      </c>
      <c r="V16" s="17">
        <v>16.057820512820513</v>
      </c>
      <c r="AH16" s="16">
        <f t="array" ref="AH16">MMULT(G2:H2-$AK$24:$AL$24,MMULT($AK$20:$AL$21,TRANSPOSE(G2:H2-$AK$24:$AL$24)))</f>
        <v>0.25824502922071346</v>
      </c>
      <c r="AI16" s="17">
        <f>_xlfn.CHISQ.DIST.RT(AH16,COUNT($G$2:$H$2))</f>
        <v>0.87886628498903607</v>
      </c>
      <c r="AJ16" s="24" t="str">
        <f>IF(AI16&lt;0.001,"*","")</f>
        <v/>
      </c>
      <c r="AK16" s="16">
        <f t="array" ref="AK16:AL17">[1]!COV(G2:H136)</f>
        <v>92.164949253731336</v>
      </c>
      <c r="AL16" s="17">
        <v>64.305766417910434</v>
      </c>
      <c r="AN16" s="4" t="s">
        <v>78</v>
      </c>
      <c r="AO16" s="26">
        <f>[1]!BOXF(F2:H136)</f>
        <v>6.4545131181771058</v>
      </c>
      <c r="AQ16" s="4" t="s">
        <v>11</v>
      </c>
      <c r="AR16" s="16">
        <f>AVERAGEIF($F$2:$F$136,$AQ16,G$2:G$136)</f>
        <v>17.477777777777778</v>
      </c>
      <c r="AS16" s="17">
        <f>AVERAGEIF($F$2:$F$136,$AQ16,H$2:H$136)</f>
        <v>17.155555555555555</v>
      </c>
      <c r="AT16" s="25">
        <f>COUNTIF($F$2:$F$136,AQ16)</f>
        <v>27</v>
      </c>
      <c r="AV16" s="29">
        <v>1</v>
      </c>
      <c r="AX16" s="16">
        <f t="array" ref="AX16:AY17">MMULT(TRANSPOSE(AR24:AS24),AR24:AS24)/AT23</f>
        <v>145.07444629629626</v>
      </c>
      <c r="AY16" s="17">
        <v>154.63024814814815</v>
      </c>
      <c r="BA16" s="4" t="s">
        <v>122</v>
      </c>
      <c r="BB16" s="26">
        <f>COUNT($G$2:$G$136)</f>
        <v>135</v>
      </c>
    </row>
    <row r="17" spans="1:54" ht="15.75" thickBot="1">
      <c r="A17" s="4">
        <v>16</v>
      </c>
      <c r="B17" s="4" t="s">
        <v>124</v>
      </c>
      <c r="C17" s="4">
        <v>16</v>
      </c>
      <c r="D17" s="6">
        <v>1</v>
      </c>
      <c r="E17" s="4">
        <f t="shared" ca="1" si="0"/>
        <v>43</v>
      </c>
      <c r="F17" s="4" t="s">
        <v>11</v>
      </c>
      <c r="G17" s="8">
        <v>16.600000000000001</v>
      </c>
      <c r="H17" s="8">
        <v>16.7</v>
      </c>
      <c r="J17" s="4" t="s">
        <v>31</v>
      </c>
      <c r="K17" s="4">
        <f>[1]!MANOVA_WilksLambda(F2:H136)</f>
        <v>0.6887066778101234</v>
      </c>
      <c r="L17" s="4">
        <f>[1]!MANOVA_WilksF(F2:H136)</f>
        <v>6.6108747253128737</v>
      </c>
      <c r="M17" s="4">
        <f>[1]!MANOVA_Wilksdf1(F2:H136)</f>
        <v>8</v>
      </c>
      <c r="N17" s="4">
        <f>[1]!MANOVA_Wilksdf2(F2:H136)</f>
        <v>258</v>
      </c>
      <c r="O17" s="4">
        <f>[1]!F_DIST_RT(L17,M17,N17)</f>
        <v>7.3926304855476133E-8</v>
      </c>
      <c r="P17" s="4">
        <f t="shared" ref="P17:P18" si="1">L17*M17/(L17*M17+N17)</f>
        <v>0.17011646732199615</v>
      </c>
      <c r="R17" s="18">
        <v>8616.9726999999984</v>
      </c>
      <c r="S17" s="19">
        <v>10710.074348148151</v>
      </c>
      <c r="U17" s="18">
        <v>16.057820512820513</v>
      </c>
      <c r="V17" s="19">
        <v>22.037948717948716</v>
      </c>
      <c r="X17" s="14" t="s">
        <v>125</v>
      </c>
      <c r="Y17" s="14"/>
      <c r="Z17" s="14"/>
      <c r="AA17" s="14"/>
      <c r="AB17" s="14"/>
      <c r="AC17" s="14" t="s">
        <v>70</v>
      </c>
      <c r="AD17" s="14">
        <v>2.5000000000000001E-2</v>
      </c>
      <c r="AE17" s="14"/>
      <c r="AF17" s="14"/>
      <c r="AH17" s="22">
        <f t="array" ref="AH17">MMULT(G3:H3-$AK$24:$AL$24,MMULT($AK$20:$AL$21,TRANSPOSE(G3:H3-$AK$24:$AL$24)))</f>
        <v>0.25701195361795437</v>
      </c>
      <c r="AI17" s="23">
        <f t="shared" ref="AI17:AI80" si="2">_xlfn.CHISQ.DIST.RT(AH17,COUNT($G$2:$H$2))</f>
        <v>0.87940830634724865</v>
      </c>
      <c r="AJ17" s="24" t="str">
        <f t="shared" ref="AJ17:AJ80" si="3">IF(AI17&lt;0.001,"*","")</f>
        <v/>
      </c>
      <c r="AK17" s="18">
        <v>64.305766417910434</v>
      </c>
      <c r="AL17" s="19">
        <v>79.925927971254865</v>
      </c>
      <c r="AN17" s="4" t="s">
        <v>108</v>
      </c>
      <c r="AO17" s="26">
        <f>[1]!BOXdf1(F2:H136)</f>
        <v>12</v>
      </c>
      <c r="AQ17" s="4" t="s">
        <v>12</v>
      </c>
      <c r="AR17" s="22">
        <f t="shared" ref="AR17:AR20" si="4">AVERAGEIF($F$2:$F$136,$AQ17,G$2:G$136)</f>
        <v>30.349259259259252</v>
      </c>
      <c r="AS17" s="23">
        <f t="shared" ref="AS17:AS20" si="5">AVERAGEIF($F$2:$F$136,$AQ17,H$2:H$136)</f>
        <v>30.665925925925922</v>
      </c>
      <c r="AT17" s="26">
        <f t="shared" ref="AT17:AT20" si="6">COUNTIF($F$2:$F$136,AQ17)</f>
        <v>27</v>
      </c>
      <c r="AV17" s="30"/>
      <c r="AX17" s="18">
        <v>154.63024814814815</v>
      </c>
      <c r="AY17" s="19">
        <v>164.8154740740741</v>
      </c>
      <c r="BA17" s="4" t="s">
        <v>126</v>
      </c>
      <c r="BB17" s="26">
        <f>COUNT($G$2:$H$2)</f>
        <v>2</v>
      </c>
    </row>
    <row r="18" spans="1:54" ht="15.75" thickTop="1">
      <c r="A18" s="4">
        <v>17</v>
      </c>
      <c r="B18" s="4" t="s">
        <v>128</v>
      </c>
      <c r="C18" s="4">
        <v>17</v>
      </c>
      <c r="D18" s="6">
        <v>2</v>
      </c>
      <c r="E18" s="4">
        <f t="shared" ca="1" si="0"/>
        <v>65</v>
      </c>
      <c r="F18" s="4" t="s">
        <v>11</v>
      </c>
      <c r="G18" s="8">
        <v>21.5</v>
      </c>
      <c r="H18" s="8">
        <v>21.5</v>
      </c>
      <c r="J18" s="4" t="s">
        <v>35</v>
      </c>
      <c r="K18" s="4">
        <f>[1]!MANOVA_HotelTrace(F2:H136)</f>
        <v>0.44085243370683141</v>
      </c>
      <c r="L18" s="4">
        <f>[1]!MANOVA_HotelF(F2:H136)</f>
        <v>7.0536389393093026</v>
      </c>
      <c r="M18" s="4">
        <f>[1]!MANOVA_Hoteldf1(F2:H136)</f>
        <v>8</v>
      </c>
      <c r="N18" s="4">
        <f>[1]!MANOVA_Hoteldf2(F2:H136)</f>
        <v>256</v>
      </c>
      <c r="O18" s="4">
        <f>[1]!F_DIST_RT(L18,M18,N18)</f>
        <v>2.0275686907211821E-8</v>
      </c>
      <c r="P18" s="4">
        <f t="shared" si="1"/>
        <v>0.18061412792469608</v>
      </c>
      <c r="X18" s="15" t="s">
        <v>40</v>
      </c>
      <c r="Y18" s="15" t="s">
        <v>116</v>
      </c>
      <c r="Z18" s="15" t="s">
        <v>129</v>
      </c>
      <c r="AA18" s="15" t="s">
        <v>4</v>
      </c>
      <c r="AB18" s="15" t="s">
        <v>130</v>
      </c>
      <c r="AC18" s="15" t="s">
        <v>75</v>
      </c>
      <c r="AD18" s="15" t="s">
        <v>131</v>
      </c>
      <c r="AE18" s="15" t="s">
        <v>41</v>
      </c>
      <c r="AF18" s="15" t="s">
        <v>42</v>
      </c>
      <c r="AH18" s="22">
        <f t="array" ref="AH18">MMULT(G4:H4-$AK$24:$AL$24,MMULT($AK$20:$AL$21,TRANSPOSE(G4:H4-$AK$24:$AL$24)))</f>
        <v>0.1435799517056438</v>
      </c>
      <c r="AI18" s="23">
        <f t="shared" si="2"/>
        <v>0.93072635029338335</v>
      </c>
      <c r="AJ18" s="24" t="str">
        <f t="shared" si="3"/>
        <v/>
      </c>
      <c r="AN18" s="4" t="s">
        <v>109</v>
      </c>
      <c r="AO18" s="26">
        <f>[1]!BOXdf2(F2:H136)</f>
        <v>125258.82352941181</v>
      </c>
      <c r="AQ18" s="4" t="s">
        <v>13</v>
      </c>
      <c r="AR18" s="22">
        <f t="shared" si="4"/>
        <v>21.675925925925931</v>
      </c>
      <c r="AS18" s="23">
        <f t="shared" si="5"/>
        <v>23.486296296296295</v>
      </c>
      <c r="AT18" s="26">
        <f t="shared" si="6"/>
        <v>27</v>
      </c>
      <c r="AV18" s="30"/>
      <c r="BA18" s="4" t="s">
        <v>132</v>
      </c>
      <c r="BB18" s="26">
        <f>COUNT(AR16:AR20)</f>
        <v>5</v>
      </c>
    </row>
    <row r="19" spans="1:54">
      <c r="A19" s="4">
        <v>18</v>
      </c>
      <c r="B19" s="4" t="s">
        <v>134</v>
      </c>
      <c r="C19" s="4">
        <v>18</v>
      </c>
      <c r="D19" s="6">
        <v>1</v>
      </c>
      <c r="E19" s="4">
        <f t="shared" ca="1" si="0"/>
        <v>63</v>
      </c>
      <c r="F19" s="4" t="s">
        <v>11</v>
      </c>
      <c r="G19" s="8">
        <v>21</v>
      </c>
      <c r="H19" s="8">
        <v>22.4</v>
      </c>
      <c r="J19" s="4" t="s">
        <v>135</v>
      </c>
      <c r="K19" s="4">
        <f>[1]!MANOVA_RoyRoot(F2:H136)</f>
        <v>0.41392865722705685</v>
      </c>
      <c r="R19" s="4" t="s">
        <v>136</v>
      </c>
      <c r="U19" s="4" t="s">
        <v>12</v>
      </c>
      <c r="X19" s="4" t="str">
        <f t="array" ref="X19:X23">[1]!SortUnique(F2:F136)</f>
        <v>I</v>
      </c>
      <c r="Y19" s="4">
        <f>COUNTIF($F$2:$F$136,$X19)</f>
        <v>27</v>
      </c>
      <c r="Z19" s="4">
        <f>SUMIF($F$2:$F$136,$X19,$G$2:$G$136)</f>
        <v>471.9</v>
      </c>
      <c r="AA19" s="4">
        <f>AVERAGEIF($F$2:$F$136,$X19,$G$2:$G$136)</f>
        <v>17.477777777777778</v>
      </c>
      <c r="AB19" s="4">
        <f t="array" ref="AB19">_xlfn.VAR.S(IF($F$2:$F$136=$X19,$G$2:$G$136))</f>
        <v>13.484102564102683</v>
      </c>
      <c r="AC19" s="4">
        <f>($Y19-1)*AB19</f>
        <v>350.58666666666977</v>
      </c>
      <c r="AD19" s="4">
        <f>SQRT(AA$28/Y19)</f>
        <v>1.6291683004098947</v>
      </c>
      <c r="AE19" s="4">
        <f>AA19-AD19*_xlfn.T.INV.2T(AD$17,Z$28)</f>
        <v>13.783377902400435</v>
      </c>
      <c r="AF19" s="4">
        <f>AA19+AD19*_xlfn.T.INV.2T(AD$17,Z$28)</f>
        <v>21.172177653155121</v>
      </c>
      <c r="AH19" s="22">
        <f t="array" ref="AH19">MMULT(G5:H5-$AK$24:$AL$24,MMULT($AK$20:$AL$21,TRANSPOSE(G5:H5-$AK$24:$AL$24)))</f>
        <v>0.88837257628359878</v>
      </c>
      <c r="AI19" s="23">
        <f t="shared" si="2"/>
        <v>0.64134593455582867</v>
      </c>
      <c r="AJ19" s="24" t="str">
        <f t="shared" si="3"/>
        <v/>
      </c>
      <c r="AK19" s="4" t="s">
        <v>137</v>
      </c>
      <c r="AN19" s="4" t="s">
        <v>23</v>
      </c>
      <c r="AO19" s="27">
        <f>[1]!BOXTEST(F2:H136)</f>
        <v>1.2552403561016945E-11</v>
      </c>
      <c r="AQ19" s="4" t="s">
        <v>14</v>
      </c>
      <c r="AR19" s="22">
        <f t="shared" si="4"/>
        <v>17.341111111111111</v>
      </c>
      <c r="AS19" s="23">
        <f t="shared" si="5"/>
        <v>19.674074074074074</v>
      </c>
      <c r="AT19" s="26">
        <f t="shared" si="6"/>
        <v>27</v>
      </c>
      <c r="AV19" s="30"/>
      <c r="AX19" s="4" t="s">
        <v>138</v>
      </c>
      <c r="BA19" s="4" t="s">
        <v>108</v>
      </c>
      <c r="BB19" s="26">
        <f>BB17</f>
        <v>2</v>
      </c>
    </row>
    <row r="20" spans="1:54">
      <c r="A20" s="4">
        <v>19</v>
      </c>
      <c r="B20" s="4" t="s">
        <v>139</v>
      </c>
      <c r="C20" s="4">
        <v>19</v>
      </c>
      <c r="D20" s="6">
        <v>2</v>
      </c>
      <c r="E20" s="4">
        <f t="shared" ca="1" si="0"/>
        <v>36</v>
      </c>
      <c r="F20" s="4" t="s">
        <v>11</v>
      </c>
      <c r="G20" s="8">
        <v>15.9</v>
      </c>
      <c r="H20" s="8">
        <v>16.100000000000001</v>
      </c>
      <c r="R20" s="16">
        <f t="array" ref="R20:S21">R16:S17-R24:S25</f>
        <v>3033.898577777778</v>
      </c>
      <c r="S20" s="17">
        <v>2891.142418518516</v>
      </c>
      <c r="U20" s="16">
        <f t="array" ref="U20:V21">[1]!ExtractCov(F2:H136,U19)</f>
        <v>91.636468660968646</v>
      </c>
      <c r="V20" s="17">
        <v>31.936204558404558</v>
      </c>
      <c r="X20" s="4" t="str">
        <v>II ALTO</v>
      </c>
      <c r="Y20" s="4">
        <f t="shared" ref="Y20:Y23" si="7">COUNTIF($F$2:$F$136,$X20)</f>
        <v>27</v>
      </c>
      <c r="Z20" s="4">
        <f t="shared" ref="Z20:Z23" si="8">SUMIF($F$2:$F$136,$X20,$G$2:$G$136)</f>
        <v>819.42999999999984</v>
      </c>
      <c r="AA20" s="4">
        <f t="shared" ref="AA20:AA23" si="9">AVERAGEIF($F$2:$F$136,$X20,$G$2:$G$136)</f>
        <v>30.349259259259252</v>
      </c>
      <c r="AB20" s="4">
        <f t="array" ref="AB20">_xlfn.VAR.S(IF($F$2:$F$136=$X20,$G$2:$G$136))</f>
        <v>91.636468660969157</v>
      </c>
      <c r="AC20" s="4">
        <f t="shared" ref="AC20:AC23" si="10">($Y20-1)*AB20</f>
        <v>2382.5481851851982</v>
      </c>
      <c r="AD20" s="4">
        <f t="shared" ref="AD20:AD23" si="11">SQRT(AA$28/Y20)</f>
        <v>1.6291683004098947</v>
      </c>
      <c r="AE20" s="4">
        <f t="shared" ref="AE20:AE23" si="12">AA20-AD20*_xlfn.T.INV.2T(AD$17,Z$28)</f>
        <v>26.654859383881909</v>
      </c>
      <c r="AF20" s="4">
        <f t="shared" ref="AF20:AF23" si="13">AA20+AD20*_xlfn.T.INV.2T(AD$17,Z$28)</f>
        <v>34.043659134636599</v>
      </c>
      <c r="AH20" s="22">
        <f t="array" ref="AH20">MMULT(G6:H6-$AK$24:$AL$24,MMULT($AK$20:$AL$21,TRANSPOSE(G6:H6-$AK$24:$AL$24)))</f>
        <v>5.6901419544914081E-2</v>
      </c>
      <c r="AI20" s="23">
        <f t="shared" si="2"/>
        <v>0.9719502006120152</v>
      </c>
      <c r="AJ20" s="24" t="str">
        <f t="shared" si="3"/>
        <v/>
      </c>
      <c r="AK20" s="16">
        <f t="array" ref="AK20:AL21">MINVERSE(AK16:AL17)</f>
        <v>2.4736158070701189E-2</v>
      </c>
      <c r="AL20" s="17">
        <v>-1.990189721091638E-2</v>
      </c>
      <c r="AQ20" s="4" t="s">
        <v>15</v>
      </c>
      <c r="AR20" s="18">
        <f t="shared" si="4"/>
        <v>20.755925925925926</v>
      </c>
      <c r="AS20" s="19">
        <f t="shared" si="5"/>
        <v>20.649629629629629</v>
      </c>
      <c r="AT20" s="27">
        <f t="shared" si="6"/>
        <v>27</v>
      </c>
      <c r="AV20" s="31">
        <v>-1</v>
      </c>
      <c r="AX20" s="16">
        <f t="array" ref="AX20:AY21">$R$24:$S$25</f>
        <v>9316.2046222222216</v>
      </c>
      <c r="AY20" s="17">
        <v>5725.8302814814824</v>
      </c>
      <c r="BA20" s="4" t="s">
        <v>109</v>
      </c>
      <c r="BB20" s="26">
        <f>BB16-BB17-BB18+1</f>
        <v>129</v>
      </c>
    </row>
    <row r="21" spans="1:54">
      <c r="A21" s="4">
        <v>20</v>
      </c>
      <c r="B21" s="4" t="s">
        <v>140</v>
      </c>
      <c r="C21" s="4">
        <v>20</v>
      </c>
      <c r="D21" s="6">
        <v>2</v>
      </c>
      <c r="E21" s="4">
        <f t="shared" ca="1" si="0"/>
        <v>18</v>
      </c>
      <c r="F21" s="4" t="s">
        <v>11</v>
      </c>
      <c r="G21" s="8">
        <v>9.5</v>
      </c>
      <c r="H21" s="8">
        <v>0.6</v>
      </c>
      <c r="R21" s="18">
        <v>2891.142418518516</v>
      </c>
      <c r="S21" s="19">
        <v>2901.8810518518549</v>
      </c>
      <c r="U21" s="18">
        <v>31.936204558404558</v>
      </c>
      <c r="V21" s="19">
        <v>59.392309686609693</v>
      </c>
      <c r="X21" s="4" t="str">
        <v>II BAJO</v>
      </c>
      <c r="Y21" s="4">
        <f t="shared" si="7"/>
        <v>27</v>
      </c>
      <c r="Z21" s="4">
        <f t="shared" si="8"/>
        <v>585.25000000000011</v>
      </c>
      <c r="AA21" s="4">
        <f t="shared" si="9"/>
        <v>21.675925925925931</v>
      </c>
      <c r="AB21" s="4">
        <f t="array" ref="AB21">_xlfn.VAR.S(IF($F$2:$F$136=$X21,$G$2:$G$136))</f>
        <v>76.877671225071026</v>
      </c>
      <c r="AC21" s="4">
        <f t="shared" si="10"/>
        <v>1998.8194518518467</v>
      </c>
      <c r="AD21" s="4">
        <f t="shared" si="11"/>
        <v>1.6291683004098947</v>
      </c>
      <c r="AE21" s="4">
        <f t="shared" si="12"/>
        <v>17.981526050548588</v>
      </c>
      <c r="AF21" s="4">
        <f t="shared" si="13"/>
        <v>25.370325801303274</v>
      </c>
      <c r="AH21" s="22">
        <f t="array" ref="AH21">MMULT(G7:H7-$AK$24:$AL$24,MMULT($AK$20:$AL$21,TRANSPOSE(G7:H7-$AK$24:$AL$24)))</f>
        <v>0.85066873262549436</v>
      </c>
      <c r="AI21" s="23">
        <f t="shared" si="2"/>
        <v>0.65355122307933766</v>
      </c>
      <c r="AJ21" s="24" t="str">
        <f t="shared" si="3"/>
        <v/>
      </c>
      <c r="AK21" s="18">
        <v>-1.9901897210916383E-2</v>
      </c>
      <c r="AL21" s="19">
        <v>2.8523994793509037E-2</v>
      </c>
      <c r="AQ21" s="4" t="s">
        <v>26</v>
      </c>
      <c r="AR21" s="20">
        <f>AVERAGE(G$2:G$136)</f>
        <v>21.520000000000003</v>
      </c>
      <c r="AS21" s="21">
        <f>AVERAGE(H$2:H$136)</f>
        <v>22.326296296296288</v>
      </c>
      <c r="AT21" s="28">
        <f>SUM(AT16:AT20)</f>
        <v>135</v>
      </c>
      <c r="AX21" s="18">
        <v>5725.8302814814824</v>
      </c>
      <c r="AY21" s="19">
        <v>7808.1932962962965</v>
      </c>
      <c r="BA21" s="4" t="s">
        <v>78</v>
      </c>
      <c r="BB21" s="26">
        <f>(1-BB15)/BB15*(BB20/BB19)</f>
        <v>1.4486753642491959</v>
      </c>
    </row>
    <row r="22" spans="1:54">
      <c r="A22" s="4">
        <v>21</v>
      </c>
      <c r="B22" s="4" t="s">
        <v>142</v>
      </c>
      <c r="C22" s="4">
        <v>21</v>
      </c>
      <c r="D22" s="6">
        <v>2</v>
      </c>
      <c r="E22" s="4">
        <f t="shared" ca="1" si="0"/>
        <v>36</v>
      </c>
      <c r="F22" s="4" t="s">
        <v>11</v>
      </c>
      <c r="G22" s="8">
        <v>24.1</v>
      </c>
      <c r="H22" s="8">
        <v>23.1</v>
      </c>
      <c r="X22" s="4" t="str">
        <v>III ALTO</v>
      </c>
      <c r="Y22" s="4">
        <f t="shared" si="7"/>
        <v>27</v>
      </c>
      <c r="Z22" s="4">
        <f t="shared" si="8"/>
        <v>468.21</v>
      </c>
      <c r="AA22" s="4">
        <f t="shared" si="9"/>
        <v>17.341111111111111</v>
      </c>
      <c r="AB22" s="4">
        <f t="array" ref="AB22">_xlfn.VAR.S(IF($F$2:$F$136=$X22,$G$2:$G$136))</f>
        <v>100.42876410256409</v>
      </c>
      <c r="AC22" s="4">
        <f t="shared" si="10"/>
        <v>2611.1478666666662</v>
      </c>
      <c r="AD22" s="4">
        <f t="shared" si="11"/>
        <v>1.6291683004098947</v>
      </c>
      <c r="AE22" s="4">
        <f t="shared" si="12"/>
        <v>13.646711235733768</v>
      </c>
      <c r="AF22" s="4">
        <f t="shared" si="13"/>
        <v>21.035510986488454</v>
      </c>
      <c r="AH22" s="22">
        <f t="array" ref="AH22">MMULT(G8:H8-$AK$24:$AL$24,MMULT($AK$20:$AL$21,TRANSPOSE(G8:H8-$AK$24:$AL$24)))</f>
        <v>0.74711673015292535</v>
      </c>
      <c r="AI22" s="23">
        <f t="shared" si="2"/>
        <v>0.68828081356170023</v>
      </c>
      <c r="AJ22" s="24" t="str">
        <f t="shared" si="3"/>
        <v/>
      </c>
      <c r="BA22" s="4" t="s">
        <v>23</v>
      </c>
      <c r="BB22" s="26">
        <f>_xlfn.F.DIST.RT(BB21,BB19,BB20)</f>
        <v>0.23867648912825568</v>
      </c>
    </row>
    <row r="23" spans="1:54">
      <c r="A23" s="4">
        <v>22</v>
      </c>
      <c r="B23" s="4" t="s">
        <v>145</v>
      </c>
      <c r="C23" s="4">
        <v>22</v>
      </c>
      <c r="D23" s="6">
        <v>1</v>
      </c>
      <c r="E23" s="4">
        <f t="shared" ca="1" si="0"/>
        <v>57</v>
      </c>
      <c r="F23" s="4" t="s">
        <v>11</v>
      </c>
      <c r="G23" s="8">
        <v>14.7</v>
      </c>
      <c r="H23" s="8">
        <v>14.4</v>
      </c>
      <c r="R23" s="4" t="s">
        <v>138</v>
      </c>
      <c r="U23" s="4" t="s">
        <v>13</v>
      </c>
      <c r="X23" s="4" t="str">
        <v>III BAJO</v>
      </c>
      <c r="Y23" s="4">
        <f t="shared" si="7"/>
        <v>27</v>
      </c>
      <c r="Z23" s="4">
        <f t="shared" si="8"/>
        <v>560.41</v>
      </c>
      <c r="AA23" s="4">
        <f t="shared" si="9"/>
        <v>20.755925925925926</v>
      </c>
      <c r="AB23" s="4">
        <f t="array" ref="AB23">_xlfn.VAR.S(IF($F$2:$F$136=$X23,$G$2:$G$136))</f>
        <v>75.888555840455837</v>
      </c>
      <c r="AC23" s="4">
        <f t="shared" si="10"/>
        <v>1973.1024518518518</v>
      </c>
      <c r="AD23" s="4">
        <f t="shared" si="11"/>
        <v>1.6291683004098947</v>
      </c>
      <c r="AE23" s="4">
        <f t="shared" si="12"/>
        <v>17.061526050548583</v>
      </c>
      <c r="AF23" s="4">
        <f t="shared" si="13"/>
        <v>24.450325801303268</v>
      </c>
      <c r="AH23" s="22">
        <f t="array" ref="AH23">MMULT(G9:H9-$AK$24:$AL$24,MMULT($AK$20:$AL$21,TRANSPOSE(G9:H9-$AK$24:$AL$24)))</f>
        <v>0.27965109068036864</v>
      </c>
      <c r="AI23" s="23">
        <f t="shared" si="2"/>
        <v>0.86950991222400009</v>
      </c>
      <c r="AJ23" s="24" t="str">
        <f t="shared" si="3"/>
        <v/>
      </c>
      <c r="AK23" s="4" t="s">
        <v>146</v>
      </c>
      <c r="AQ23" s="4" t="s">
        <v>147</v>
      </c>
      <c r="AT23" s="28">
        <f>SUMPRODUCT(AV16:AV20^2/AT16:AT20)</f>
        <v>7.407407407407407E-2</v>
      </c>
      <c r="BA23" s="4" t="s">
        <v>148</v>
      </c>
      <c r="BB23" s="27">
        <f>(BB16-BB18)*(1-BB15)*AT23/BB15</f>
        <v>0.21628228234555891</v>
      </c>
    </row>
    <row r="24" spans="1:54">
      <c r="A24" s="4">
        <v>23</v>
      </c>
      <c r="B24" s="4" t="s">
        <v>150</v>
      </c>
      <c r="C24" s="4">
        <v>23</v>
      </c>
      <c r="D24" s="6">
        <v>1</v>
      </c>
      <c r="E24" s="4">
        <f t="shared" ca="1" si="0"/>
        <v>64</v>
      </c>
      <c r="F24" s="4" t="s">
        <v>11</v>
      </c>
      <c r="G24" s="8">
        <v>16.899999999999999</v>
      </c>
      <c r="H24" s="8">
        <v>16.3</v>
      </c>
      <c r="R24" s="16">
        <f t="array" ref="R24:S25">[1]!COVPooled(F2:H136)*(COUNT(G2:G136)-[1]!COUNTAU(F2:F136))</f>
        <v>9316.2046222222216</v>
      </c>
      <c r="S24" s="17">
        <v>5725.8302814814824</v>
      </c>
      <c r="U24" s="16">
        <f t="array" ref="U24:V25">[1]!ExtractCov(F2:H136,U23)</f>
        <v>76.877671225071225</v>
      </c>
      <c r="V24" s="17">
        <v>48.041734330484324</v>
      </c>
      <c r="AH24" s="22">
        <f t="array" ref="AH24">MMULT(G10:H10-$AK$24:$AL$24,MMULT($AK$20:$AL$21,TRANSPOSE(G10:H10-$AK$24:$AL$24)))</f>
        <v>6.2213473634225493E-3</v>
      </c>
      <c r="AI24" s="23">
        <f t="shared" si="2"/>
        <v>0.99689415945093407</v>
      </c>
      <c r="AJ24" s="24" t="str">
        <f t="shared" si="3"/>
        <v/>
      </c>
      <c r="AK24" s="20">
        <f>AVERAGE(G2:G136)</f>
        <v>21.520000000000003</v>
      </c>
      <c r="AL24" s="21">
        <f>AVERAGE(H2:H136)</f>
        <v>22.326296296296288</v>
      </c>
      <c r="AQ24" s="4" t="s">
        <v>47</v>
      </c>
      <c r="AR24" s="16">
        <f>SUMPRODUCT(AR16:AR20,$AV16:$AV20)</f>
        <v>-3.2781481481481478</v>
      </c>
      <c r="AS24" s="17">
        <f>SUMPRODUCT(AS16:AS20,$AV16:$AV20)</f>
        <v>-3.4940740740740743</v>
      </c>
    </row>
    <row r="25" spans="1:54" ht="15.75" thickBot="1">
      <c r="A25" s="4">
        <v>24</v>
      </c>
      <c r="B25" s="4" t="s">
        <v>152</v>
      </c>
      <c r="C25" s="4">
        <v>24</v>
      </c>
      <c r="D25" s="6">
        <v>1</v>
      </c>
      <c r="E25" s="4">
        <f t="shared" ca="1" si="0"/>
        <v>29</v>
      </c>
      <c r="F25" s="4" t="s">
        <v>11</v>
      </c>
      <c r="G25" s="8">
        <v>14.9</v>
      </c>
      <c r="H25" s="8">
        <v>15.2</v>
      </c>
      <c r="R25" s="18">
        <v>5725.8302814814824</v>
      </c>
      <c r="S25" s="19">
        <v>7808.1932962962965</v>
      </c>
      <c r="U25" s="18">
        <v>48.041734330484324</v>
      </c>
      <c r="V25" s="19">
        <v>66.800547293447309</v>
      </c>
      <c r="X25" s="14" t="s">
        <v>28</v>
      </c>
      <c r="Y25" s="14"/>
      <c r="Z25" s="14"/>
      <c r="AA25" s="14"/>
      <c r="AB25" s="14"/>
      <c r="AC25" s="14"/>
      <c r="AD25" s="14"/>
      <c r="AE25" s="14"/>
      <c r="AF25" s="14"/>
      <c r="AH25" s="22">
        <f t="array" ref="AH25">MMULT(G11:H11-$AK$24:$AL$24,MMULT($AK$20:$AL$21,TRANSPOSE(G11:H11-$AK$24:$AL$24)))</f>
        <v>0.60080205460681368</v>
      </c>
      <c r="AI25" s="23">
        <f t="shared" si="2"/>
        <v>0.74052119191066756</v>
      </c>
      <c r="AJ25" s="24" t="str">
        <f t="shared" si="3"/>
        <v/>
      </c>
      <c r="AQ25" s="4" t="s">
        <v>149</v>
      </c>
      <c r="AR25" s="18">
        <f t="array" ref="AR25:AS25">SQRT([1]!DIAG(AX20:AY21)*AT23/(BB16-BB18))</f>
        <v>2.3039919058279965</v>
      </c>
      <c r="AS25" s="19">
        <v>2.1092920588061337</v>
      </c>
    </row>
    <row r="26" spans="1:54" ht="15.75" thickTop="1">
      <c r="A26" s="4">
        <v>25</v>
      </c>
      <c r="B26" s="4" t="s">
        <v>153</v>
      </c>
      <c r="C26" s="4">
        <v>25</v>
      </c>
      <c r="D26" s="6">
        <v>2</v>
      </c>
      <c r="E26" s="4">
        <f t="shared" ca="1" si="0"/>
        <v>67</v>
      </c>
      <c r="F26" s="4" t="s">
        <v>11</v>
      </c>
      <c r="G26" s="8">
        <v>19</v>
      </c>
      <c r="H26" s="8">
        <v>18.3</v>
      </c>
      <c r="X26" s="15" t="s">
        <v>154</v>
      </c>
      <c r="Y26" s="15" t="s">
        <v>75</v>
      </c>
      <c r="Z26" s="15" t="s">
        <v>76</v>
      </c>
      <c r="AA26" s="15" t="s">
        <v>77</v>
      </c>
      <c r="AB26" s="15" t="s">
        <v>78</v>
      </c>
      <c r="AC26" s="15" t="s">
        <v>43</v>
      </c>
      <c r="AD26" s="15" t="s">
        <v>155</v>
      </c>
      <c r="AE26" s="15" t="s">
        <v>156</v>
      </c>
      <c r="AF26" s="15" t="s">
        <v>157</v>
      </c>
      <c r="AH26" s="22">
        <f t="array" ref="AH26">MMULT(G12:H12-$AK$24:$AL$24,MMULT($AK$20:$AL$21,TRANSPOSE(G12:H12-$AK$24:$AL$24)))</f>
        <v>0.21525075769117413</v>
      </c>
      <c r="AI26" s="23">
        <f t="shared" si="2"/>
        <v>0.89796392971169015</v>
      </c>
      <c r="AJ26" s="24" t="str">
        <f t="shared" si="3"/>
        <v/>
      </c>
    </row>
    <row r="27" spans="1:54">
      <c r="A27" s="4">
        <v>26</v>
      </c>
      <c r="B27" s="4" t="s">
        <v>159</v>
      </c>
      <c r="C27" s="4">
        <v>26</v>
      </c>
      <c r="D27" s="6">
        <v>2</v>
      </c>
      <c r="E27" s="4">
        <f t="shared" ca="1" si="0"/>
        <v>33</v>
      </c>
      <c r="F27" s="4" t="s">
        <v>11</v>
      </c>
      <c r="G27" s="8">
        <v>15</v>
      </c>
      <c r="H27" s="8">
        <v>15.5</v>
      </c>
      <c r="U27" s="4" t="s">
        <v>14</v>
      </c>
      <c r="X27" s="4" t="s">
        <v>160</v>
      </c>
      <c r="Y27" s="4">
        <f>Y29-Y28</f>
        <v>3033.8985777777671</v>
      </c>
      <c r="Z27" s="4">
        <f>[1]!COUNTAU(F2:F136)-1</f>
        <v>4</v>
      </c>
      <c r="AA27" s="4">
        <f>Y27/Z27</f>
        <v>758.47464444444176</v>
      </c>
      <c r="AB27" s="4">
        <f>AA27/AA28</f>
        <v>10.583892022141692</v>
      </c>
      <c r="AC27" s="4">
        <f>_xlfn.F.DIST.RT(AB27,Z27,Z28)</f>
        <v>1.8688414044518606E-7</v>
      </c>
      <c r="AD27" s="4">
        <f>Y27/Y29</f>
        <v>0.24565775108484658</v>
      </c>
      <c r="AE27" s="4">
        <f>SQRT(DEVSQ(AA19:AA23)/(AA28*Z27))</f>
        <v>0.62609583996386964</v>
      </c>
      <c r="AF27" s="4">
        <f>(Y29-Z29*AA28)/(Y29+AA28)</f>
        <v>0.22116388754660546</v>
      </c>
      <c r="AH27" s="22">
        <f t="array" ref="AH27">MMULT(G13:H13-$AK$24:$AL$24,MMULT($AK$20:$AL$21,TRANSPOSE(G13:H13-$AK$24:$AL$24)))</f>
        <v>0.67020779378124062</v>
      </c>
      <c r="AI27" s="23">
        <f t="shared" si="2"/>
        <v>0.71526376881039322</v>
      </c>
      <c r="AJ27" s="24" t="str">
        <f t="shared" si="3"/>
        <v/>
      </c>
      <c r="AQ27" s="4" t="s">
        <v>161</v>
      </c>
    </row>
    <row r="28" spans="1:54">
      <c r="A28" s="4">
        <v>27</v>
      </c>
      <c r="B28" s="4" t="s">
        <v>163</v>
      </c>
      <c r="C28" s="4">
        <v>27</v>
      </c>
      <c r="D28" s="6">
        <v>1</v>
      </c>
      <c r="E28" s="4">
        <f t="shared" ca="1" si="0"/>
        <v>53</v>
      </c>
      <c r="F28" s="4" t="s">
        <v>11</v>
      </c>
      <c r="G28" s="8">
        <v>9.5</v>
      </c>
      <c r="H28" s="8">
        <v>10.5</v>
      </c>
      <c r="U28" s="16">
        <f t="array" ref="U28:V29">[1]!ExtractCov(F2:H136,U27)</f>
        <v>100.42876410256406</v>
      </c>
      <c r="V28" s="17">
        <v>56.854226068376072</v>
      </c>
      <c r="X28" s="4" t="s">
        <v>164</v>
      </c>
      <c r="Y28" s="4">
        <f>SUM(AC19:AC23)</f>
        <v>9316.2046222222325</v>
      </c>
      <c r="Z28" s="4">
        <f>Z29-Z27</f>
        <v>130</v>
      </c>
      <c r="AA28" s="4">
        <f>Y28/Z28</f>
        <v>71.663112478632556</v>
      </c>
      <c r="AH28" s="22">
        <f t="array" ref="AH28">MMULT(G14:H14-$AK$24:$AL$24,MMULT($AK$20:$AL$21,TRANSPOSE(G14:H14-$AK$24:$AL$24)))</f>
        <v>4.8354087045891801E-2</v>
      </c>
      <c r="AI28" s="23">
        <f t="shared" si="2"/>
        <v>0.97611287999609841</v>
      </c>
      <c r="AJ28" s="24" t="str">
        <f t="shared" si="3"/>
        <v/>
      </c>
      <c r="AU28" s="4" t="s">
        <v>70</v>
      </c>
      <c r="AV28" s="25">
        <v>0.05</v>
      </c>
    </row>
    <row r="29" spans="1:54">
      <c r="A29" s="4">
        <v>1</v>
      </c>
      <c r="B29" s="4" t="s">
        <v>166</v>
      </c>
      <c r="C29" s="4">
        <v>28</v>
      </c>
      <c r="D29" s="5">
        <v>2</v>
      </c>
      <c r="E29" s="4">
        <f t="shared" ca="1" si="0"/>
        <v>22</v>
      </c>
      <c r="F29" s="4" t="s">
        <v>12</v>
      </c>
      <c r="G29" s="4">
        <v>24.3</v>
      </c>
      <c r="H29" s="4">
        <v>26.56</v>
      </c>
      <c r="U29" s="18">
        <v>56.854226068376072</v>
      </c>
      <c r="V29" s="19">
        <v>62.11791737891739</v>
      </c>
      <c r="X29" s="4" t="s">
        <v>26</v>
      </c>
      <c r="Y29" s="4">
        <f>DEVSQ(G2:G136)</f>
        <v>12350.1032</v>
      </c>
      <c r="Z29" s="4">
        <f>COUNT(G2:G136)-1</f>
        <v>134</v>
      </c>
      <c r="AA29" s="4">
        <f>Y29/Z29</f>
        <v>92.164949253731336</v>
      </c>
      <c r="AH29" s="22">
        <f t="array" ref="AH29">MMULT(G15:H15-$AK$24:$AL$24,MMULT($AK$20:$AL$21,TRANSPOSE(G15:H15-$AK$24:$AL$24)))</f>
        <v>6.0905557874893226E-2</v>
      </c>
      <c r="AI29" s="23">
        <f t="shared" si="2"/>
        <v>0.97000623571088729</v>
      </c>
      <c r="AJ29" s="24" t="str">
        <f t="shared" si="3"/>
        <v/>
      </c>
      <c r="AQ29" s="4" t="s">
        <v>158</v>
      </c>
      <c r="AR29" s="16">
        <f>AR24-AR25*$AV30</f>
        <v>-9.0059308860517717</v>
      </c>
      <c r="AS29" s="17">
        <f>AS24-AS25*$AV30</f>
        <v>-8.7378280182899317</v>
      </c>
      <c r="AU29" s="4" t="s">
        <v>167</v>
      </c>
      <c r="AV29" s="26">
        <f>_xlfn.F.INV.RT(AV28,BB19,BB20)</f>
        <v>3.0663910369425227</v>
      </c>
    </row>
    <row r="30" spans="1:54">
      <c r="A30" s="4">
        <v>2</v>
      </c>
      <c r="B30" s="4" t="s">
        <v>168</v>
      </c>
      <c r="C30" s="4">
        <v>29</v>
      </c>
      <c r="D30" s="5">
        <v>2</v>
      </c>
      <c r="E30" s="4">
        <f t="shared" ca="1" si="0"/>
        <v>52</v>
      </c>
      <c r="F30" s="4" t="s">
        <v>12</v>
      </c>
      <c r="G30" s="4">
        <v>39.03</v>
      </c>
      <c r="H30" s="4">
        <v>33.4</v>
      </c>
      <c r="AH30" s="22">
        <f t="array" ref="AH30">MMULT(G16:H16-$AK$24:$AL$24,MMULT($AK$20:$AL$21,TRANSPOSE(G16:H16-$AK$24:$AL$24)))</f>
        <v>5.7535251499751514E-2</v>
      </c>
      <c r="AI30" s="23">
        <f t="shared" si="2"/>
        <v>0.97164222286829738</v>
      </c>
      <c r="AJ30" s="24" t="str">
        <f t="shared" si="3"/>
        <v/>
      </c>
      <c r="AQ30" s="4" t="s">
        <v>162</v>
      </c>
      <c r="AR30" s="18">
        <f>AR24+AR25*$AV30</f>
        <v>2.4496345897554752</v>
      </c>
      <c r="AS30" s="19">
        <f>AS24+AS25*$AV30</f>
        <v>1.7496798701417822</v>
      </c>
      <c r="AU30" s="4" t="s">
        <v>115</v>
      </c>
      <c r="AV30" s="27">
        <f>SQRT(BB19*(BB16-BB18)*AV29/BB20)</f>
        <v>2.4860255469713564</v>
      </c>
    </row>
    <row r="31" spans="1:54">
      <c r="A31" s="4">
        <v>3</v>
      </c>
      <c r="B31" s="4" t="s">
        <v>169</v>
      </c>
      <c r="C31" s="4">
        <v>30</v>
      </c>
      <c r="D31" s="5">
        <v>2</v>
      </c>
      <c r="E31" s="4">
        <f t="shared" ca="1" si="0"/>
        <v>38</v>
      </c>
      <c r="F31" s="4" t="s">
        <v>12</v>
      </c>
      <c r="G31" s="4">
        <v>33.4</v>
      </c>
      <c r="H31" s="4">
        <v>43.01</v>
      </c>
      <c r="U31" s="4" t="s">
        <v>15</v>
      </c>
      <c r="X31" s="4" t="s">
        <v>112</v>
      </c>
      <c r="AA31" s="4" t="str">
        <f>H1</f>
        <v>ang izq</v>
      </c>
      <c r="AH31" s="22">
        <f t="array" ref="AH31">MMULT(G17:H17-$AK$24:$AL$24,MMULT($AK$20:$AL$21,TRANSPOSE(G17:H17-$AK$24:$AL$24)))</f>
        <v>0.3998825119615747</v>
      </c>
      <c r="AI31" s="23">
        <f t="shared" si="2"/>
        <v>0.81877885002576078</v>
      </c>
      <c r="AJ31" s="24" t="str">
        <f t="shared" si="3"/>
        <v/>
      </c>
    </row>
    <row r="32" spans="1:54">
      <c r="A32" s="4">
        <v>4</v>
      </c>
      <c r="B32" s="4" t="s">
        <v>170</v>
      </c>
      <c r="C32" s="4">
        <v>31</v>
      </c>
      <c r="D32" s="5">
        <v>2</v>
      </c>
      <c r="E32" s="4">
        <f t="shared" ca="1" si="0"/>
        <v>69</v>
      </c>
      <c r="F32" s="4" t="s">
        <v>12</v>
      </c>
      <c r="G32" s="4">
        <v>38.19</v>
      </c>
      <c r="H32" s="4">
        <v>38.340000000000003</v>
      </c>
      <c r="U32" s="16">
        <f t="array" ref="U32:V33">[1]!ExtractCov(F2:H136,U31)</f>
        <v>75.888555840455837</v>
      </c>
      <c r="V32" s="17">
        <v>67.334256125356134</v>
      </c>
      <c r="AH32" s="22">
        <f t="array" ref="AH32">MMULT(G18:H18-$AK$24:$AL$24,MMULT($AK$20:$AL$21,TRANSPOSE(G18:H18-$AK$24:$AL$24)))</f>
        <v>1.8827301448171428E-2</v>
      </c>
      <c r="AI32" s="23">
        <f t="shared" si="2"/>
        <v>0.9906305189778507</v>
      </c>
      <c r="AJ32" s="24" t="str">
        <f t="shared" si="3"/>
        <v/>
      </c>
      <c r="AQ32" s="4" t="s">
        <v>171</v>
      </c>
    </row>
    <row r="33" spans="1:48" ht="15.75" thickBot="1">
      <c r="A33" s="4">
        <v>5</v>
      </c>
      <c r="B33" s="4" t="s">
        <v>172</v>
      </c>
      <c r="C33" s="4">
        <v>32</v>
      </c>
      <c r="D33" s="5">
        <v>2</v>
      </c>
      <c r="E33" s="4">
        <f t="shared" ca="1" si="0"/>
        <v>39</v>
      </c>
      <c r="F33" s="4" t="s">
        <v>12</v>
      </c>
      <c r="G33" s="4">
        <v>27.5</v>
      </c>
      <c r="H33" s="4">
        <v>35.549999999999997</v>
      </c>
      <c r="U33" s="18">
        <v>67.334256125356134</v>
      </c>
      <c r="V33" s="19">
        <v>89.966403703703691</v>
      </c>
      <c r="X33" s="14" t="s">
        <v>125</v>
      </c>
      <c r="Y33" s="14"/>
      <c r="Z33" s="14"/>
      <c r="AA33" s="14"/>
      <c r="AB33" s="14"/>
      <c r="AC33" s="14" t="s">
        <v>70</v>
      </c>
      <c r="AD33" s="14">
        <v>2.5000000000000001E-2</v>
      </c>
      <c r="AE33" s="14"/>
      <c r="AF33" s="14"/>
      <c r="AH33" s="22">
        <f t="array" ref="AH33">MMULT(G19:H19-$AK$24:$AL$24,MMULT($AK$20:$AL$21,TRANSPOSE(G19:H19-$AK$24:$AL$24)))</f>
        <v>8.3691234885593067E-3</v>
      </c>
      <c r="AI33" s="23">
        <f t="shared" si="2"/>
        <v>0.99582418133464679</v>
      </c>
      <c r="AJ33" s="24" t="str">
        <f t="shared" si="3"/>
        <v/>
      </c>
      <c r="AU33" s="4" t="s">
        <v>70</v>
      </c>
      <c r="AV33" s="25">
        <f>AV28/BB17</f>
        <v>2.5000000000000001E-2</v>
      </c>
    </row>
    <row r="34" spans="1:48" ht="15.75" thickTop="1">
      <c r="A34" s="4">
        <v>6</v>
      </c>
      <c r="B34" s="4" t="s">
        <v>173</v>
      </c>
      <c r="C34" s="4">
        <v>33</v>
      </c>
      <c r="D34" s="5">
        <v>2</v>
      </c>
      <c r="E34" s="4">
        <f t="shared" ca="1" si="0"/>
        <v>49</v>
      </c>
      <c r="F34" s="4" t="s">
        <v>12</v>
      </c>
      <c r="G34" s="4">
        <v>24.88</v>
      </c>
      <c r="H34" s="4">
        <v>26.82</v>
      </c>
      <c r="X34" s="15" t="s">
        <v>40</v>
      </c>
      <c r="Y34" s="15" t="s">
        <v>116</v>
      </c>
      <c r="Z34" s="15" t="s">
        <v>129</v>
      </c>
      <c r="AA34" s="15" t="s">
        <v>4</v>
      </c>
      <c r="AB34" s="15" t="s">
        <v>130</v>
      </c>
      <c r="AC34" s="15" t="s">
        <v>75</v>
      </c>
      <c r="AD34" s="15" t="s">
        <v>131</v>
      </c>
      <c r="AE34" s="15" t="s">
        <v>41</v>
      </c>
      <c r="AF34" s="15" t="s">
        <v>42</v>
      </c>
      <c r="AH34" s="22">
        <f t="array" ref="AH34">MMULT(G20:H20-$AK$24:$AL$24,MMULT($AK$20:$AL$21,TRANSPOSE(G20:H20-$AK$24:$AL$24)))</f>
        <v>0.49425390626333687</v>
      </c>
      <c r="AI34" s="23">
        <f t="shared" si="2"/>
        <v>0.78104153156865308</v>
      </c>
      <c r="AJ34" s="24" t="str">
        <f t="shared" si="3"/>
        <v/>
      </c>
      <c r="AQ34" s="4" t="s">
        <v>158</v>
      </c>
      <c r="AR34" s="16">
        <f>AR24-AR25*$AV35</f>
        <v>-8.5028185567362549</v>
      </c>
      <c r="AS34" s="17">
        <f>AS24-AS25*$AV35</f>
        <v>-8.2772314171350772</v>
      </c>
      <c r="AU34" s="4" t="s">
        <v>76</v>
      </c>
      <c r="AV34" s="26">
        <f>BB16-BB18</f>
        <v>130</v>
      </c>
    </row>
    <row r="35" spans="1:48">
      <c r="A35" s="4">
        <v>7</v>
      </c>
      <c r="B35" s="4" t="s">
        <v>174</v>
      </c>
      <c r="C35" s="4">
        <v>34</v>
      </c>
      <c r="D35" s="5">
        <v>2</v>
      </c>
      <c r="E35" s="4">
        <f t="shared" ca="1" si="0"/>
        <v>30</v>
      </c>
      <c r="F35" s="4" t="s">
        <v>12</v>
      </c>
      <c r="G35" s="4">
        <v>32.909999999999997</v>
      </c>
      <c r="H35" s="4">
        <v>18.079999999999998</v>
      </c>
      <c r="U35" s="4" t="s">
        <v>175</v>
      </c>
      <c r="X35" s="4" t="str">
        <f t="array" ref="X35:X39">[1]!SortUnique(F2:F136)</f>
        <v>I</v>
      </c>
      <c r="Y35" s="4">
        <f>COUNTIF($F$2:$F$136,$X35)</f>
        <v>27</v>
      </c>
      <c r="Z35" s="4">
        <f>SUMIF($F$2:$F$136,$X35,$H$2:$H$136)</f>
        <v>463.2</v>
      </c>
      <c r="AA35" s="4">
        <f>AVERAGEIF($F$2:$F$136,$X35,$H$2:$H$136)</f>
        <v>17.155555555555555</v>
      </c>
      <c r="AB35" s="4">
        <f t="array" ref="AB35">_xlfn.VAR.S(IF($F$2:$F$136=$X35,$H$2:$H$136))</f>
        <v>22.037948717948684</v>
      </c>
      <c r="AC35" s="4">
        <f>($Y35-1)*AB35</f>
        <v>572.98666666666577</v>
      </c>
      <c r="AD35" s="4">
        <f>SQRT(AA$44/Y35)</f>
        <v>1.4914947182847518</v>
      </c>
      <c r="AE35" s="4">
        <f>AA35-AD35*_xlfn.T.INV.2T(AD$33,Z$44)</f>
        <v>13.773352562794891</v>
      </c>
      <c r="AF35" s="4">
        <f>AA35+AD35*_xlfn.T.INV.2T(AD$33,Z$44)</f>
        <v>20.537758548316219</v>
      </c>
      <c r="AH35" s="22">
        <f t="array" ref="AH35">MMULT(G21:H21-$AK$24:$AL$24,MMULT($AK$20:$AL$21,TRANSPOSE(G21:H21-$AK$24:$AL$24)))</f>
        <v>6.6433627616744415</v>
      </c>
      <c r="AI35" s="23">
        <f t="shared" si="2"/>
        <v>3.609209614967307E-2</v>
      </c>
      <c r="AJ35" s="24" t="str">
        <f t="shared" si="3"/>
        <v/>
      </c>
      <c r="AQ35" s="4" t="s">
        <v>162</v>
      </c>
      <c r="AR35" s="18">
        <f>AR24+AR25*$AV35</f>
        <v>1.9465222604399601</v>
      </c>
      <c r="AS35" s="19">
        <f>AS24+AS25*$AV35</f>
        <v>1.2890832689869276</v>
      </c>
      <c r="AU35" s="4" t="s">
        <v>176</v>
      </c>
      <c r="AV35" s="27">
        <f>_xlfn.T.INV.2T(AV33,AV34)</f>
        <v>2.2676600535671123</v>
      </c>
    </row>
    <row r="36" spans="1:48">
      <c r="A36" s="4">
        <v>8</v>
      </c>
      <c r="B36" s="4" t="s">
        <v>177</v>
      </c>
      <c r="C36" s="4">
        <v>35</v>
      </c>
      <c r="D36" s="5">
        <v>2</v>
      </c>
      <c r="E36" s="4">
        <f t="shared" ca="1" si="0"/>
        <v>38</v>
      </c>
      <c r="F36" s="4" t="s">
        <v>12</v>
      </c>
      <c r="G36" s="4">
        <v>16.96</v>
      </c>
      <c r="H36" s="4">
        <v>37.770000000000003</v>
      </c>
      <c r="U36" s="16">
        <f t="array" ref="U36:V37">[1]!COVPooled(F2:H136)</f>
        <v>71.66311247863247</v>
      </c>
      <c r="V36" s="17">
        <v>44.044848319088324</v>
      </c>
      <c r="X36" s="4" t="str">
        <v>II ALTO</v>
      </c>
      <c r="Y36" s="4">
        <f t="shared" ref="Y36:Y39" si="14">COUNTIF($F$2:$F$136,$X36)</f>
        <v>27</v>
      </c>
      <c r="Z36" s="4">
        <f t="shared" ref="Z36:Z39" si="15">SUMIF($F$2:$F$136,$X36,$H$2:$H$136)</f>
        <v>827.9799999999999</v>
      </c>
      <c r="AA36" s="4">
        <f t="shared" ref="AA36:AA39" si="16">AVERAGEIF($F$2:$F$136,$X36,$H$2:$H$136)</f>
        <v>30.665925925925922</v>
      </c>
      <c r="AB36" s="4">
        <f t="array" ref="AB36">_xlfn.VAR.S(IF($F$2:$F$136=$X36,$H$2:$H$136))</f>
        <v>59.39230968660992</v>
      </c>
      <c r="AC36" s="4">
        <f t="shared" ref="AC36:AC39" si="17">($Y36-1)*AB36</f>
        <v>1544.200051851858</v>
      </c>
      <c r="AD36" s="4">
        <f t="shared" ref="AD36:AD39" si="18">SQRT(AA$44/Y36)</f>
        <v>1.4914947182847518</v>
      </c>
      <c r="AE36" s="4">
        <f t="shared" ref="AE36:AE39" si="19">AA36-AD36*_xlfn.T.INV.2T(AD$33,Z$44)</f>
        <v>27.283722933165258</v>
      </c>
      <c r="AF36" s="4">
        <f t="shared" ref="AF36:AF39" si="20">AA36+AD36*_xlfn.T.INV.2T(AD$33,Z$44)</f>
        <v>34.048128918686587</v>
      </c>
      <c r="AH36" s="22">
        <f t="array" ref="AH36">MMULT(G22:H22-$AK$24:$AL$24,MMULT($AK$20:$AL$21,TRANSPOSE(G22:H22-$AK$24:$AL$24)))</f>
        <v>0.1022741574179504</v>
      </c>
      <c r="AI36" s="23">
        <f t="shared" si="2"/>
        <v>0.9501484164868359</v>
      </c>
      <c r="AJ36" s="24" t="str">
        <f t="shared" si="3"/>
        <v/>
      </c>
    </row>
    <row r="37" spans="1:48">
      <c r="A37" s="4">
        <v>9</v>
      </c>
      <c r="B37" s="4" t="s">
        <v>178</v>
      </c>
      <c r="C37" s="4">
        <v>36</v>
      </c>
      <c r="D37" s="5">
        <v>2</v>
      </c>
      <c r="E37" s="4">
        <f t="shared" ca="1" si="0"/>
        <v>39</v>
      </c>
      <c r="F37" s="4" t="s">
        <v>12</v>
      </c>
      <c r="G37" s="4">
        <v>27.09</v>
      </c>
      <c r="H37" s="4">
        <v>47.48</v>
      </c>
      <c r="U37" s="18">
        <v>44.044848319088324</v>
      </c>
      <c r="V37" s="19">
        <v>60.063025356125358</v>
      </c>
      <c r="X37" s="4" t="str">
        <v>II BAJO</v>
      </c>
      <c r="Y37" s="4">
        <f t="shared" si="14"/>
        <v>27</v>
      </c>
      <c r="Z37" s="4">
        <f t="shared" si="15"/>
        <v>634.13</v>
      </c>
      <c r="AA37" s="4">
        <f t="shared" si="16"/>
        <v>23.486296296296295</v>
      </c>
      <c r="AB37" s="4">
        <f t="array" ref="AB37">_xlfn.VAR.S(IF($F$2:$F$136=$X37,$H$2:$H$136))</f>
        <v>66.80054729344738</v>
      </c>
      <c r="AC37" s="4">
        <f t="shared" si="17"/>
        <v>1736.8142296296319</v>
      </c>
      <c r="AD37" s="4">
        <f t="shared" si="18"/>
        <v>1.4914947182847518</v>
      </c>
      <c r="AE37" s="4">
        <f t="shared" si="19"/>
        <v>20.104093303535631</v>
      </c>
      <c r="AF37" s="4">
        <f t="shared" si="20"/>
        <v>26.86849928905696</v>
      </c>
      <c r="AH37" s="22">
        <f t="array" ref="AH37">MMULT(G23:H23-$AK$24:$AL$24,MMULT($AK$20:$AL$21,TRANSPOSE(G23:H23-$AK$24:$AL$24)))</f>
        <v>0.79090423169520074</v>
      </c>
      <c r="AI37" s="23">
        <f t="shared" si="2"/>
        <v>0.67337552666957967</v>
      </c>
      <c r="AJ37" s="24" t="str">
        <f t="shared" si="3"/>
        <v/>
      </c>
    </row>
    <row r="38" spans="1:48">
      <c r="A38" s="4">
        <v>10</v>
      </c>
      <c r="B38" s="4" t="s">
        <v>179</v>
      </c>
      <c r="C38" s="4">
        <v>37</v>
      </c>
      <c r="D38" s="5">
        <v>2</v>
      </c>
      <c r="E38" s="4">
        <f t="shared" ca="1" si="0"/>
        <v>31</v>
      </c>
      <c r="F38" s="4" t="s">
        <v>12</v>
      </c>
      <c r="G38" s="4">
        <v>53.56</v>
      </c>
      <c r="H38" s="4">
        <v>39.42</v>
      </c>
      <c r="X38" s="4" t="str">
        <v>III ALTO</v>
      </c>
      <c r="Y38" s="4">
        <f t="shared" si="14"/>
        <v>27</v>
      </c>
      <c r="Z38" s="4">
        <f t="shared" si="15"/>
        <v>531.20000000000005</v>
      </c>
      <c r="AA38" s="4">
        <f t="shared" si="16"/>
        <v>19.674074074074074</v>
      </c>
      <c r="AB38" s="4">
        <f t="array" ref="AB38">_xlfn.VAR.S(IF($F$2:$F$136=$X38,$H$2:$H$136))</f>
        <v>62.117917378917177</v>
      </c>
      <c r="AC38" s="4">
        <f t="shared" si="17"/>
        <v>1615.0658518518467</v>
      </c>
      <c r="AD38" s="4">
        <f t="shared" si="18"/>
        <v>1.4914947182847518</v>
      </c>
      <c r="AE38" s="4">
        <f t="shared" si="19"/>
        <v>16.29187108131341</v>
      </c>
      <c r="AF38" s="4">
        <f t="shared" si="20"/>
        <v>23.056277066834738</v>
      </c>
      <c r="AH38" s="22">
        <f t="array" ref="AH38">MMULT(G24:H24-$AK$24:$AL$24,MMULT($AK$20:$AL$21,TRANSPOSE(G24:H24-$AK$24:$AL$24)))</f>
        <v>0.45566599398870661</v>
      </c>
      <c r="AI38" s="23">
        <f t="shared" si="2"/>
        <v>0.79625722608228688</v>
      </c>
      <c r="AJ38" s="24" t="str">
        <f t="shared" si="3"/>
        <v/>
      </c>
    </row>
    <row r="39" spans="1:48">
      <c r="A39" s="4">
        <v>11</v>
      </c>
      <c r="B39" s="4" t="s">
        <v>180</v>
      </c>
      <c r="C39" s="4">
        <v>38</v>
      </c>
      <c r="D39" s="5">
        <v>2</v>
      </c>
      <c r="E39" s="4">
        <f t="shared" ca="1" si="0"/>
        <v>18</v>
      </c>
      <c r="F39" s="4" t="s">
        <v>12</v>
      </c>
      <c r="G39" s="4">
        <v>42.08</v>
      </c>
      <c r="H39" s="4">
        <v>37.340000000000003</v>
      </c>
      <c r="K39" s="32"/>
      <c r="U39" s="4" t="s">
        <v>181</v>
      </c>
      <c r="X39" s="4" t="str">
        <v>III BAJO</v>
      </c>
      <c r="Y39" s="4">
        <f t="shared" si="14"/>
        <v>27</v>
      </c>
      <c r="Z39" s="4">
        <f t="shared" si="15"/>
        <v>557.54</v>
      </c>
      <c r="AA39" s="4">
        <f t="shared" si="16"/>
        <v>20.649629629629629</v>
      </c>
      <c r="AB39" s="4">
        <f t="array" ref="AB39">_xlfn.VAR.S(IF($F$2:$F$136=$X39,$H$2:$H$136))</f>
        <v>89.966403703703833</v>
      </c>
      <c r="AC39" s="4">
        <f t="shared" si="17"/>
        <v>2339.1264962962996</v>
      </c>
      <c r="AD39" s="4">
        <f t="shared" si="18"/>
        <v>1.4914947182847518</v>
      </c>
      <c r="AE39" s="4">
        <f t="shared" si="19"/>
        <v>17.267426636868965</v>
      </c>
      <c r="AF39" s="4">
        <f t="shared" si="20"/>
        <v>24.031832622390294</v>
      </c>
      <c r="AH39" s="22">
        <f t="array" ref="AH39">MMULT(G25:H25-$AK$24:$AL$24,MMULT($AK$20:$AL$21,TRANSPOSE(G25:H25-$AK$24:$AL$24)))</f>
        <v>0.65482560952810598</v>
      </c>
      <c r="AI39" s="23">
        <f t="shared" si="2"/>
        <v>0.72078613765288868</v>
      </c>
      <c r="AJ39" s="24" t="str">
        <f t="shared" si="3"/>
        <v/>
      </c>
    </row>
    <row r="40" spans="1:48">
      <c r="A40" s="4">
        <v>12</v>
      </c>
      <c r="B40" s="4" t="s">
        <v>182</v>
      </c>
      <c r="C40" s="4">
        <v>39</v>
      </c>
      <c r="D40" s="5">
        <v>2</v>
      </c>
      <c r="E40" s="4">
        <f t="shared" ca="1" si="0"/>
        <v>30</v>
      </c>
      <c r="F40" s="4" t="s">
        <v>12</v>
      </c>
      <c r="G40" s="4">
        <v>31.79</v>
      </c>
      <c r="H40" s="4">
        <v>20.89</v>
      </c>
      <c r="K40" s="25"/>
      <c r="U40" s="16">
        <f t="array" ref="U40:V41">[1]!CORR(G2:H136)</f>
        <v>0.99999999999999967</v>
      </c>
      <c r="V40" s="17">
        <v>0.74924383972059627</v>
      </c>
      <c r="AH40" s="22">
        <f t="array" ref="AH40">MMULT(G26:H26-$AK$24:$AL$24,MMULT($AK$20:$AL$21,TRANSPOSE(G26:H26-$AK$24:$AL$24)))</f>
        <v>0.215628829913836</v>
      </c>
      <c r="AI40" s="23">
        <f t="shared" si="2"/>
        <v>0.8977941981455051</v>
      </c>
      <c r="AJ40" s="24" t="str">
        <f t="shared" si="3"/>
        <v/>
      </c>
    </row>
    <row r="41" spans="1:48" ht="15.75" thickBot="1">
      <c r="A41" s="4">
        <v>13</v>
      </c>
      <c r="B41" s="4" t="s">
        <v>183</v>
      </c>
      <c r="C41" s="4">
        <v>40</v>
      </c>
      <c r="D41" s="5">
        <v>2</v>
      </c>
      <c r="E41" s="4">
        <f t="shared" ca="1" si="0"/>
        <v>38</v>
      </c>
      <c r="F41" s="4" t="s">
        <v>12</v>
      </c>
      <c r="G41" s="4">
        <v>35.869999999999997</v>
      </c>
      <c r="H41" s="4">
        <v>33.75</v>
      </c>
      <c r="K41" s="26"/>
      <c r="U41" s="18">
        <v>0.74924383972059627</v>
      </c>
      <c r="V41" s="19">
        <v>0.99999999999999756</v>
      </c>
      <c r="X41" s="14" t="s">
        <v>28</v>
      </c>
      <c r="Y41" s="14"/>
      <c r="Z41" s="14"/>
      <c r="AA41" s="14"/>
      <c r="AB41" s="14"/>
      <c r="AC41" s="14"/>
      <c r="AD41" s="14"/>
      <c r="AE41" s="14"/>
      <c r="AF41" s="14"/>
      <c r="AH41" s="22">
        <f t="array" ref="AH41">MMULT(G27:H27-$AK$24:$AL$24,MMULT($AK$20:$AL$21,TRANSPOSE(G27:H27-$AK$24:$AL$24)))</f>
        <v>0.60914877944887513</v>
      </c>
      <c r="AI41" s="23">
        <f t="shared" si="2"/>
        <v>0.7374371684463763</v>
      </c>
      <c r="AJ41" s="24" t="str">
        <f t="shared" si="3"/>
        <v/>
      </c>
    </row>
    <row r="42" spans="1:48" ht="15.75" thickTop="1">
      <c r="A42" s="4">
        <v>14</v>
      </c>
      <c r="B42" s="4" t="s">
        <v>184</v>
      </c>
      <c r="C42" s="4">
        <v>41</v>
      </c>
      <c r="D42" s="5">
        <v>2</v>
      </c>
      <c r="E42" s="4">
        <f t="shared" ca="1" si="0"/>
        <v>60</v>
      </c>
      <c r="F42" s="4" t="s">
        <v>12</v>
      </c>
      <c r="G42" s="4">
        <v>20.89</v>
      </c>
      <c r="H42" s="4">
        <v>21.79</v>
      </c>
      <c r="K42" s="27"/>
      <c r="X42" s="15" t="s">
        <v>154</v>
      </c>
      <c r="Y42" s="15" t="s">
        <v>75</v>
      </c>
      <c r="Z42" s="15" t="s">
        <v>76</v>
      </c>
      <c r="AA42" s="15" t="s">
        <v>77</v>
      </c>
      <c r="AB42" s="15" t="s">
        <v>78</v>
      </c>
      <c r="AC42" s="15" t="s">
        <v>43</v>
      </c>
      <c r="AD42" s="15" t="s">
        <v>155</v>
      </c>
      <c r="AE42" s="15" t="s">
        <v>156</v>
      </c>
      <c r="AF42" s="15" t="s">
        <v>157</v>
      </c>
      <c r="AH42" s="22">
        <f t="array" ref="AH42">MMULT(G28:H28-$AK$24:$AL$24,MMULT($AK$20:$AL$21,TRANSPOSE(G28:H28-$AK$24:$AL$24)))</f>
        <v>1.9051003237272783</v>
      </c>
      <c r="AI42" s="23">
        <f t="shared" si="2"/>
        <v>0.38575602772846324</v>
      </c>
      <c r="AJ42" s="24" t="str">
        <f t="shared" si="3"/>
        <v/>
      </c>
    </row>
    <row r="43" spans="1:48">
      <c r="A43" s="4">
        <v>15</v>
      </c>
      <c r="B43" s="4" t="s">
        <v>185</v>
      </c>
      <c r="C43" s="4">
        <v>42</v>
      </c>
      <c r="D43" s="5">
        <v>2</v>
      </c>
      <c r="E43" s="4">
        <f t="shared" ca="1" si="0"/>
        <v>27</v>
      </c>
      <c r="F43" s="4" t="s">
        <v>12</v>
      </c>
      <c r="G43" s="4">
        <v>21.8</v>
      </c>
      <c r="H43" s="4">
        <v>23.85</v>
      </c>
      <c r="X43" s="4" t="s">
        <v>160</v>
      </c>
      <c r="Y43" s="4">
        <f>Y45-Y44</f>
        <v>2901.8810518518494</v>
      </c>
      <c r="Z43" s="4">
        <f>[1]!COUNTAU(F2:F136)-1</f>
        <v>4</v>
      </c>
      <c r="AA43" s="4">
        <f>Y43/Z43</f>
        <v>725.47026296296235</v>
      </c>
      <c r="AB43" s="4">
        <f>AA43/AA44</f>
        <v>12.078483537276179</v>
      </c>
      <c r="AC43" s="4">
        <f>_xlfn.F.DIST.RT(AB43,Z43,Z44)</f>
        <v>2.2338800880619082E-8</v>
      </c>
      <c r="AD43" s="4">
        <f>Y43/Y45</f>
        <v>0.27094873084178034</v>
      </c>
      <c r="AE43" s="4">
        <f>SQRT(DEVSQ(AA35:AA39)/(AA44*Z43))</f>
        <v>0.66884321191243323</v>
      </c>
      <c r="AF43" s="4">
        <f>(Y45-Z45*AA44)/(Y45+AA44)</f>
        <v>0.24713045508363221</v>
      </c>
      <c r="AH43" s="22">
        <f t="array" ref="AH43">MMULT(G29:H29-$AK$24:$AL$24,MMULT($AK$20:$AL$21,TRANSPOSE(G29:H29-$AK$24:$AL$24)))</f>
        <v>0.23396348180171364</v>
      </c>
      <c r="AI43" s="23">
        <f t="shared" si="2"/>
        <v>0.88960143633594202</v>
      </c>
      <c r="AJ43" s="24" t="str">
        <f t="shared" si="3"/>
        <v/>
      </c>
    </row>
    <row r="44" spans="1:48">
      <c r="A44" s="4">
        <v>16</v>
      </c>
      <c r="B44" s="4" t="s">
        <v>186</v>
      </c>
      <c r="C44" s="4">
        <v>43</v>
      </c>
      <c r="D44" s="5">
        <v>2</v>
      </c>
      <c r="E44" s="4">
        <f t="shared" ca="1" si="0"/>
        <v>60</v>
      </c>
      <c r="F44" s="4" t="s">
        <v>12</v>
      </c>
      <c r="G44" s="4">
        <v>34.58</v>
      </c>
      <c r="H44" s="4">
        <v>21.24</v>
      </c>
      <c r="X44" s="4" t="s">
        <v>164</v>
      </c>
      <c r="Y44" s="4">
        <f>SUM(AC35:AC39)</f>
        <v>7808.1932962963019</v>
      </c>
      <c r="Z44" s="4">
        <f>Z45-Z43</f>
        <v>130</v>
      </c>
      <c r="AA44" s="4">
        <f>Y44/Z44</f>
        <v>60.063025356125401</v>
      </c>
      <c r="AH44" s="22">
        <f t="array" ref="AH44">MMULT(G30:H30-$AK$24:$AL$24,MMULT($AK$20:$AL$21,TRANSPOSE(G30:H30-$AK$24:$AL$24)))</f>
        <v>3.3639402823215567</v>
      </c>
      <c r="AI44" s="23">
        <f t="shared" si="2"/>
        <v>0.1860071544617114</v>
      </c>
      <c r="AJ44" s="24" t="str">
        <f t="shared" si="3"/>
        <v/>
      </c>
    </row>
    <row r="45" spans="1:48">
      <c r="A45" s="4">
        <v>17</v>
      </c>
      <c r="B45" s="4" t="s">
        <v>187</v>
      </c>
      <c r="C45" s="4">
        <v>44</v>
      </c>
      <c r="D45" s="5">
        <v>1</v>
      </c>
      <c r="E45" s="4">
        <f t="shared" ca="1" si="0"/>
        <v>51</v>
      </c>
      <c r="F45" s="4" t="s">
        <v>12</v>
      </c>
      <c r="G45" s="4">
        <v>28.17</v>
      </c>
      <c r="H45" s="4">
        <v>32.19</v>
      </c>
      <c r="X45" s="4" t="s">
        <v>26</v>
      </c>
      <c r="Y45" s="4">
        <f>DEVSQ(H2:H136)</f>
        <v>10710.074348148151</v>
      </c>
      <c r="Z45" s="4">
        <f>COUNT(H2:H136)-1</f>
        <v>134</v>
      </c>
      <c r="AA45" s="4">
        <f>Y45/Z45</f>
        <v>79.925927971254865</v>
      </c>
      <c r="AH45" s="22">
        <f t="array" ref="AH45">MMULT(G31:H31-$AK$24:$AL$24,MMULT($AK$20:$AL$21,TRANSPOSE(G31:H31-$AK$24:$AL$24)))</f>
        <v>5.9134488488541095</v>
      </c>
      <c r="AI45" s="23">
        <f t="shared" si="2"/>
        <v>5.1988932248634906E-2</v>
      </c>
      <c r="AJ45" s="24" t="str">
        <f t="shared" si="3"/>
        <v/>
      </c>
    </row>
    <row r="46" spans="1:48">
      <c r="A46" s="4">
        <v>18</v>
      </c>
      <c r="B46" s="4" t="s">
        <v>188</v>
      </c>
      <c r="C46" s="4">
        <v>45</v>
      </c>
      <c r="D46" s="5">
        <v>1</v>
      </c>
      <c r="E46" s="4">
        <f t="shared" ca="1" si="0"/>
        <v>57</v>
      </c>
      <c r="F46" s="4" t="s">
        <v>12</v>
      </c>
      <c r="G46" s="4">
        <v>22.02</v>
      </c>
      <c r="H46" s="4">
        <v>22.66</v>
      </c>
      <c r="AH46" s="22">
        <f t="array" ref="AH46">MMULT(G32:H32-$AK$24:$AL$24,MMULT($AK$20:$AL$21,TRANSPOSE(G32:H32-$AK$24:$AL$24)))</f>
        <v>3.5629992236610519</v>
      </c>
      <c r="AI46" s="23">
        <f t="shared" si="2"/>
        <v>0.16838544503286185</v>
      </c>
      <c r="AJ46" s="24" t="str">
        <f t="shared" si="3"/>
        <v/>
      </c>
    </row>
    <row r="47" spans="1:48">
      <c r="A47" s="4">
        <v>19</v>
      </c>
      <c r="B47" s="4" t="s">
        <v>189</v>
      </c>
      <c r="C47" s="4">
        <v>46</v>
      </c>
      <c r="D47" s="5">
        <v>2</v>
      </c>
      <c r="E47" s="4">
        <f t="shared" ca="1" si="0"/>
        <v>25</v>
      </c>
      <c r="F47" s="4" t="s">
        <v>12</v>
      </c>
      <c r="G47" s="4">
        <v>10.89</v>
      </c>
      <c r="H47" s="4">
        <v>21.84</v>
      </c>
      <c r="AH47" s="22">
        <f t="array" ref="AH47">MMULT(G33:H33-$AK$24:$AL$24,MMULT($AK$20:$AL$21,TRANSPOSE(G33:H33-$AK$24:$AL$24)))</f>
        <v>2.7248670379879645</v>
      </c>
      <c r="AI47" s="23">
        <f t="shared" si="2"/>
        <v>0.25603694743617955</v>
      </c>
      <c r="AJ47" s="24" t="str">
        <f t="shared" si="3"/>
        <v/>
      </c>
    </row>
    <row r="48" spans="1:48">
      <c r="A48" s="4">
        <v>20</v>
      </c>
      <c r="B48" s="4" t="s">
        <v>190</v>
      </c>
      <c r="C48" s="4">
        <v>47</v>
      </c>
      <c r="D48" s="5">
        <v>1</v>
      </c>
      <c r="E48" s="4">
        <f t="shared" ca="1" si="0"/>
        <v>20</v>
      </c>
      <c r="F48" s="4" t="s">
        <v>12</v>
      </c>
      <c r="G48" s="4">
        <v>30.78</v>
      </c>
      <c r="H48" s="4">
        <v>28.89</v>
      </c>
      <c r="AH48" s="22">
        <f t="array" ref="AH48">MMULT(G34:H34-$AK$24:$AL$24,MMULT($AK$20:$AL$21,TRANSPOSE(G34:H34-$AK$24:$AL$24)))</f>
        <v>0.25426569553130818</v>
      </c>
      <c r="AI48" s="23">
        <f t="shared" si="2"/>
        <v>0.88061667686809875</v>
      </c>
      <c r="AJ48" s="24" t="str">
        <f t="shared" si="3"/>
        <v/>
      </c>
    </row>
    <row r="49" spans="1:36">
      <c r="A49" s="4">
        <v>21</v>
      </c>
      <c r="B49" s="4" t="s">
        <v>191</v>
      </c>
      <c r="C49" s="4">
        <v>48</v>
      </c>
      <c r="D49" s="5">
        <v>1</v>
      </c>
      <c r="E49" s="4">
        <f t="shared" ca="1" si="0"/>
        <v>33</v>
      </c>
      <c r="F49" s="4" t="s">
        <v>12</v>
      </c>
      <c r="G49" s="4">
        <v>32.479999999999997</v>
      </c>
      <c r="H49" s="4">
        <v>33.89</v>
      </c>
      <c r="AH49" s="22">
        <f t="array" ref="AH49">MMULT(G35:H35-$AK$24:$AL$24,MMULT($AK$20:$AL$21,TRANSPOSE(G35:H35-$AK$24:$AL$24)))</f>
        <v>5.6485138500996515</v>
      </c>
      <c r="AI49" s="23">
        <f t="shared" si="2"/>
        <v>5.9352743984658909E-2</v>
      </c>
      <c r="AJ49" s="24" t="str">
        <f t="shared" si="3"/>
        <v/>
      </c>
    </row>
    <row r="50" spans="1:36">
      <c r="A50" s="4">
        <v>22</v>
      </c>
      <c r="B50" s="4" t="s">
        <v>192</v>
      </c>
      <c r="C50" s="4">
        <v>49</v>
      </c>
      <c r="D50" s="5">
        <v>1</v>
      </c>
      <c r="E50" s="4">
        <f t="shared" ca="1" si="0"/>
        <v>41</v>
      </c>
      <c r="F50" s="4" t="s">
        <v>12</v>
      </c>
      <c r="G50" s="4">
        <v>49.96</v>
      </c>
      <c r="H50" s="4">
        <v>36.15</v>
      </c>
      <c r="AH50" s="22">
        <f t="array" ref="AH50">MMULT(G36:H36-$AK$24:$AL$24,MMULT($AK$20:$AL$21,TRANSPOSE(G36:H36-$AK$24:$AL$24)))</f>
        <v>10.120668386232119</v>
      </c>
      <c r="AI50" s="23">
        <f t="shared" si="2"/>
        <v>6.3434392249149141E-3</v>
      </c>
      <c r="AJ50" s="24" t="str">
        <f t="shared" si="3"/>
        <v/>
      </c>
    </row>
    <row r="51" spans="1:36">
      <c r="A51" s="4">
        <v>23</v>
      </c>
      <c r="B51" s="4" t="s">
        <v>193</v>
      </c>
      <c r="C51" s="4">
        <v>50</v>
      </c>
      <c r="D51" s="5">
        <v>1</v>
      </c>
      <c r="E51" s="4">
        <f t="shared" ca="1" si="0"/>
        <v>59</v>
      </c>
      <c r="F51" s="4" t="s">
        <v>12</v>
      </c>
      <c r="G51" s="4">
        <v>38.65</v>
      </c>
      <c r="H51" s="4">
        <v>39.549999999999997</v>
      </c>
      <c r="AH51" s="22">
        <f t="array" ref="AH51">MMULT(G37:H37-$AK$24:$AL$24,MMULT($AK$20:$AL$21,TRANSPOSE(G37:H37-$AK$24:$AL$24)))</f>
        <v>13.238064052149848</v>
      </c>
      <c r="AI51" s="23">
        <f t="shared" si="2"/>
        <v>1.3347222968959568E-3</v>
      </c>
      <c r="AJ51" s="24" t="str">
        <f t="shared" si="3"/>
        <v/>
      </c>
    </row>
    <row r="52" spans="1:36">
      <c r="A52" s="4">
        <v>24</v>
      </c>
      <c r="B52" s="4" t="s">
        <v>194</v>
      </c>
      <c r="C52" s="4">
        <v>51</v>
      </c>
      <c r="D52" s="5">
        <v>1</v>
      </c>
      <c r="E52" s="4">
        <f t="shared" ca="1" si="0"/>
        <v>64</v>
      </c>
      <c r="F52" s="4" t="s">
        <v>12</v>
      </c>
      <c r="G52" s="4">
        <v>26.56</v>
      </c>
      <c r="H52" s="4">
        <v>25.81</v>
      </c>
      <c r="AH52" s="22">
        <f t="array" ref="AH52">MMULT(G38:H38-$AK$24:$AL$24,MMULT($AK$20:$AL$21,TRANSPOSE(G38:H38-$AK$24:$AL$24)))</f>
        <v>11.927917937506265</v>
      </c>
      <c r="AI52" s="23">
        <f t="shared" si="2"/>
        <v>2.5697183725290943E-3</v>
      </c>
      <c r="AJ52" s="24" t="str">
        <f t="shared" si="3"/>
        <v/>
      </c>
    </row>
    <row r="53" spans="1:36">
      <c r="A53" s="4">
        <v>25</v>
      </c>
      <c r="B53" s="4" t="s">
        <v>195</v>
      </c>
      <c r="C53" s="4">
        <v>52</v>
      </c>
      <c r="D53" s="5">
        <v>1</v>
      </c>
      <c r="E53" s="4">
        <f t="shared" ca="1" si="0"/>
        <v>40</v>
      </c>
      <c r="F53" s="4" t="s">
        <v>12</v>
      </c>
      <c r="G53" s="4">
        <v>20.55</v>
      </c>
      <c r="H53" s="4">
        <v>27.64</v>
      </c>
      <c r="J53" s="33"/>
      <c r="K53" s="33"/>
      <c r="L53" s="33"/>
      <c r="M53" s="33"/>
      <c r="N53" s="33"/>
      <c r="O53" s="33"/>
      <c r="P53" s="33"/>
      <c r="Q53" s="33"/>
      <c r="AH53" s="22">
        <f t="array" ref="AH53">MMULT(G39:H39-$AK$24:$AL$24,MMULT($AK$20:$AL$21,TRANSPOSE(G39:H39-$AK$24:$AL$24)))</f>
        <v>4.5992362994703573</v>
      </c>
      <c r="AI53" s="23">
        <f t="shared" si="2"/>
        <v>0.10029713489911261</v>
      </c>
      <c r="AJ53" s="24" t="str">
        <f t="shared" si="3"/>
        <v/>
      </c>
    </row>
    <row r="54" spans="1:36">
      <c r="A54" s="4">
        <v>26</v>
      </c>
      <c r="B54" s="4" t="s">
        <v>196</v>
      </c>
      <c r="C54" s="4">
        <v>53</v>
      </c>
      <c r="D54" s="5">
        <v>1</v>
      </c>
      <c r="E54" s="4">
        <f t="shared" ca="1" si="0"/>
        <v>41</v>
      </c>
      <c r="F54" s="4" t="s">
        <v>12</v>
      </c>
      <c r="G54" s="4">
        <v>23.05</v>
      </c>
      <c r="H54" s="4">
        <v>29.49</v>
      </c>
      <c r="AH54" s="22">
        <f t="array" ref="AH54">MMULT(G40:H40-$AK$24:$AL$24,MMULT($AK$20:$AL$21,TRANSPOSE(G40:H40-$AK$24:$AL$24)))</f>
        <v>3.2549741540532198</v>
      </c>
      <c r="AI54" s="23">
        <f t="shared" si="2"/>
        <v>0.19642254919967309</v>
      </c>
      <c r="AJ54" s="24" t="str">
        <f t="shared" si="3"/>
        <v/>
      </c>
    </row>
    <row r="55" spans="1:36">
      <c r="A55" s="4">
        <v>27</v>
      </c>
      <c r="B55" s="4" t="s">
        <v>197</v>
      </c>
      <c r="C55" s="4">
        <v>54</v>
      </c>
      <c r="D55" s="5">
        <v>1</v>
      </c>
      <c r="E55" s="4">
        <f t="shared" ca="1" si="0"/>
        <v>38</v>
      </c>
      <c r="F55" s="4" t="s">
        <v>12</v>
      </c>
      <c r="G55" s="4">
        <v>31.49</v>
      </c>
      <c r="H55" s="4">
        <v>24.58</v>
      </c>
      <c r="AH55" s="22">
        <f t="array" ref="AH55">MMULT(G41:H41-$AK$24:$AL$24,MMULT($AK$20:$AL$21,TRANSPOSE(G41:H41-$AK$24:$AL$24)))</f>
        <v>2.2910996184190089</v>
      </c>
      <c r="AI55" s="23">
        <f t="shared" si="2"/>
        <v>0.31804900343890025</v>
      </c>
      <c r="AJ55" s="24" t="str">
        <f t="shared" si="3"/>
        <v/>
      </c>
    </row>
    <row r="56" spans="1:36">
      <c r="A56" s="4">
        <v>1</v>
      </c>
      <c r="B56" s="4" t="s">
        <v>198</v>
      </c>
      <c r="C56" s="4">
        <v>55</v>
      </c>
      <c r="D56" s="5">
        <v>2</v>
      </c>
      <c r="E56" s="4">
        <f t="shared" ca="1" si="0"/>
        <v>23</v>
      </c>
      <c r="F56" s="4" t="s">
        <v>13</v>
      </c>
      <c r="G56" s="4">
        <v>27.17</v>
      </c>
      <c r="H56" s="4">
        <v>26.5</v>
      </c>
      <c r="AH56" s="22">
        <f t="array" ref="AH56">MMULT(G42:H42-$AK$24:$AL$24,MMULT($AK$20:$AL$21,TRANSPOSE(G42:H42-$AK$24:$AL$24)))</f>
        <v>4.5732979745333338E-3</v>
      </c>
      <c r="AI56" s="23">
        <f t="shared" si="2"/>
        <v>0.997715963402943</v>
      </c>
      <c r="AJ56" s="24" t="str">
        <f t="shared" si="3"/>
        <v/>
      </c>
    </row>
    <row r="57" spans="1:36">
      <c r="A57" s="4">
        <v>2</v>
      </c>
      <c r="B57" s="4" t="s">
        <v>199</v>
      </c>
      <c r="C57" s="4">
        <v>56</v>
      </c>
      <c r="D57" s="5">
        <v>1</v>
      </c>
      <c r="E57" s="4">
        <f t="shared" ca="1" si="0"/>
        <v>64</v>
      </c>
      <c r="F57" s="4" t="s">
        <v>13</v>
      </c>
      <c r="G57" s="4">
        <v>27.29</v>
      </c>
      <c r="H57" s="4">
        <v>27.2</v>
      </c>
      <c r="AH57" s="22">
        <f t="array" ref="AH57">MMULT(G43:H43-$AK$24:$AL$24,MMULT($AK$20:$AL$21,TRANSPOSE(G43:H43-$AK$24:$AL$24)))</f>
        <v>5.1180929776843638E-2</v>
      </c>
      <c r="AI57" s="23">
        <f t="shared" si="2"/>
        <v>0.97473419575679909</v>
      </c>
      <c r="AJ57" s="24" t="str">
        <f t="shared" si="3"/>
        <v/>
      </c>
    </row>
    <row r="58" spans="1:36">
      <c r="A58" s="4">
        <v>3</v>
      </c>
      <c r="B58" s="4" t="s">
        <v>200</v>
      </c>
      <c r="C58" s="4">
        <v>57</v>
      </c>
      <c r="D58" s="5">
        <v>1</v>
      </c>
      <c r="E58" s="4">
        <f t="shared" ca="1" si="0"/>
        <v>24</v>
      </c>
      <c r="F58" s="4" t="s">
        <v>13</v>
      </c>
      <c r="G58" s="4">
        <v>22.16</v>
      </c>
      <c r="H58" s="4">
        <v>24.89</v>
      </c>
      <c r="AH58" s="22">
        <f t="array" ref="AH58">MMULT(G44:H44-$AK$24:$AL$24,MMULT($AK$20:$AL$21,TRANSPOSE(G44:H44-$AK$24:$AL$24)))</f>
        <v>4.8174452261850362</v>
      </c>
      <c r="AI58" s="23">
        <f t="shared" si="2"/>
        <v>8.9930096761422162E-2</v>
      </c>
      <c r="AJ58" s="24" t="str">
        <f t="shared" si="3"/>
        <v/>
      </c>
    </row>
    <row r="59" spans="1:36">
      <c r="A59" s="4">
        <v>4</v>
      </c>
      <c r="B59" s="4" t="s">
        <v>201</v>
      </c>
      <c r="C59" s="4">
        <v>58</v>
      </c>
      <c r="D59" s="5">
        <v>2</v>
      </c>
      <c r="E59" s="4">
        <f t="shared" ca="1" si="0"/>
        <v>60</v>
      </c>
      <c r="F59" s="4" t="s">
        <v>13</v>
      </c>
      <c r="G59" s="4">
        <v>19.149999999999999</v>
      </c>
      <c r="H59" s="4">
        <v>17.87</v>
      </c>
      <c r="AH59" s="22">
        <f t="array" ref="AH59">MMULT(G45:H45-$AK$24:$AL$24,MMULT($AK$20:$AL$21,TRANSPOSE(G45:H45-$AK$24:$AL$24)))</f>
        <v>1.2581944646888268</v>
      </c>
      <c r="AI59" s="23">
        <f t="shared" si="2"/>
        <v>0.53307282475214712</v>
      </c>
      <c r="AJ59" s="24" t="str">
        <f t="shared" si="3"/>
        <v/>
      </c>
    </row>
    <row r="60" spans="1:36">
      <c r="A60" s="4">
        <v>5</v>
      </c>
      <c r="B60" s="4" t="s">
        <v>202</v>
      </c>
      <c r="C60" s="4">
        <v>59</v>
      </c>
      <c r="D60" s="5">
        <v>2</v>
      </c>
      <c r="E60" s="4">
        <f t="shared" ca="1" si="0"/>
        <v>50</v>
      </c>
      <c r="F60" s="4" t="s">
        <v>13</v>
      </c>
      <c r="G60" s="4">
        <v>27.94</v>
      </c>
      <c r="H60" s="4">
        <v>9.82</v>
      </c>
      <c r="AH60" s="22">
        <f t="array" ref="AH60">MMULT(G46:H46-$AK$24:$AL$24,MMULT($AK$20:$AL$21,TRANSPOSE(G46:H46-$AK$24:$AL$24)))</f>
        <v>2.7190823369302765E-3</v>
      </c>
      <c r="AI60" s="23">
        <f t="shared" si="2"/>
        <v>0.99864138258895307</v>
      </c>
      <c r="AJ60" s="24" t="str">
        <f t="shared" si="3"/>
        <v/>
      </c>
    </row>
    <row r="61" spans="1:36">
      <c r="A61" s="4">
        <v>6</v>
      </c>
      <c r="B61" s="4" t="s">
        <v>203</v>
      </c>
      <c r="C61" s="4">
        <v>60</v>
      </c>
      <c r="D61" s="5">
        <v>1</v>
      </c>
      <c r="E61" s="4">
        <f t="shared" ca="1" si="0"/>
        <v>43</v>
      </c>
      <c r="F61" s="4" t="s">
        <v>13</v>
      </c>
      <c r="G61" s="4">
        <v>26.18</v>
      </c>
      <c r="H61" s="4">
        <v>34.450000000000003</v>
      </c>
      <c r="AH61" s="22">
        <f t="array" ref="AH61">MMULT(G47:H47-$AK$24:$AL$24,MMULT($AK$20:$AL$21,TRANSPOSE(G47:H47-$AK$24:$AL$24)))</f>
        <v>2.5960957169116652</v>
      </c>
      <c r="AI61" s="23">
        <f t="shared" si="2"/>
        <v>0.27306433329716701</v>
      </c>
      <c r="AJ61" s="24" t="str">
        <f t="shared" si="3"/>
        <v/>
      </c>
    </row>
    <row r="62" spans="1:36">
      <c r="A62" s="4">
        <v>7</v>
      </c>
      <c r="B62" s="4" t="s">
        <v>203</v>
      </c>
      <c r="C62" s="4">
        <v>61</v>
      </c>
      <c r="D62" s="5">
        <v>1</v>
      </c>
      <c r="E62" s="4">
        <f t="shared" ca="1" si="0"/>
        <v>62</v>
      </c>
      <c r="F62" s="4" t="s">
        <v>13</v>
      </c>
      <c r="G62" s="4">
        <v>6.01</v>
      </c>
      <c r="H62" s="4">
        <v>4.2699999999999996</v>
      </c>
      <c r="AH62" s="22">
        <f t="array" ref="AH62">MMULT(G48:H48-$AK$24:$AL$24,MMULT($AK$20:$AL$21,TRANSPOSE(G48:H48-$AK$24:$AL$24)))</f>
        <v>0.93067231910487802</v>
      </c>
      <c r="AI62" s="23">
        <f t="shared" si="2"/>
        <v>0.62792398706048502</v>
      </c>
      <c r="AJ62" s="24" t="str">
        <f t="shared" si="3"/>
        <v/>
      </c>
    </row>
    <row r="63" spans="1:36">
      <c r="A63" s="4">
        <v>8</v>
      </c>
      <c r="B63" s="4" t="s">
        <v>204</v>
      </c>
      <c r="C63" s="4">
        <v>62</v>
      </c>
      <c r="D63" s="5">
        <v>1</v>
      </c>
      <c r="E63" s="4">
        <f t="shared" ca="1" si="0"/>
        <v>22</v>
      </c>
      <c r="F63" s="4" t="s">
        <v>13</v>
      </c>
      <c r="G63" s="4">
        <v>23.57</v>
      </c>
      <c r="H63" s="4">
        <v>16.78</v>
      </c>
      <c r="AH63" s="22">
        <f t="array" ref="AH63">MMULT(G49:H49-$AK$24:$AL$24,MMULT($AK$20:$AL$21,TRANSPOSE(G49:H49-$AK$24:$AL$24)))</f>
        <v>1.7408929229785812</v>
      </c>
      <c r="AI63" s="23">
        <f t="shared" si="2"/>
        <v>0.41876454526316625</v>
      </c>
      <c r="AJ63" s="24" t="str">
        <f t="shared" si="3"/>
        <v/>
      </c>
    </row>
    <row r="64" spans="1:36">
      <c r="A64" s="4">
        <v>9</v>
      </c>
      <c r="B64" s="4" t="s">
        <v>205</v>
      </c>
      <c r="C64" s="4">
        <v>63</v>
      </c>
      <c r="D64" s="5">
        <v>1</v>
      </c>
      <c r="E64" s="4">
        <f t="shared" ca="1" si="0"/>
        <v>37</v>
      </c>
      <c r="F64" s="4" t="s">
        <v>13</v>
      </c>
      <c r="G64" s="4">
        <v>24.22</v>
      </c>
      <c r="H64" s="4">
        <v>25.34</v>
      </c>
      <c r="AH64" s="22">
        <f t="array" ref="AH64">MMULT(G50:H50-$AK$24:$AL$24,MMULT($AK$20:$AL$21,TRANSPOSE(G50:H50-$AK$24:$AL$24)))</f>
        <v>9.8095145399427377</v>
      </c>
      <c r="AI64" s="23">
        <f t="shared" si="2"/>
        <v>7.4112417955382948E-3</v>
      </c>
      <c r="AJ64" s="24" t="str">
        <f t="shared" si="3"/>
        <v/>
      </c>
    </row>
    <row r="65" spans="1:36">
      <c r="A65" s="4">
        <v>10</v>
      </c>
      <c r="B65" s="4" t="s">
        <v>206</v>
      </c>
      <c r="C65" s="4">
        <v>64</v>
      </c>
      <c r="D65" s="5">
        <v>1</v>
      </c>
      <c r="E65" s="4">
        <f t="shared" ca="1" si="0"/>
        <v>22</v>
      </c>
      <c r="F65" s="4" t="s">
        <v>13</v>
      </c>
      <c r="G65" s="4">
        <v>22.74</v>
      </c>
      <c r="H65" s="4">
        <v>26.96</v>
      </c>
      <c r="AH65" s="22">
        <f t="array" ref="AH65">MMULT(G51:H51-$AK$24:$AL$24,MMULT($AK$20:$AL$21,TRANSPOSE(G51:H51-$AK$24:$AL$24)))</f>
        <v>3.9765219823183897</v>
      </c>
      <c r="AI65" s="23">
        <f t="shared" si="2"/>
        <v>0.13693334681259242</v>
      </c>
      <c r="AJ65" s="24" t="str">
        <f t="shared" si="3"/>
        <v/>
      </c>
    </row>
    <row r="66" spans="1:36">
      <c r="A66" s="4">
        <v>11</v>
      </c>
      <c r="B66" s="4" t="s">
        <v>207</v>
      </c>
      <c r="C66" s="4">
        <v>65</v>
      </c>
      <c r="D66" s="5">
        <v>1</v>
      </c>
      <c r="E66" s="4">
        <f t="shared" ca="1" si="0"/>
        <v>48</v>
      </c>
      <c r="F66" s="4" t="s">
        <v>13</v>
      </c>
      <c r="G66" s="4">
        <v>26.96</v>
      </c>
      <c r="H66" s="4">
        <v>22.74</v>
      </c>
      <c r="AH66" s="22">
        <f t="array" ref="AH66">MMULT(G52:H52-$AK$24:$AL$24,MMULT($AK$20:$AL$21,TRANSPOSE(G52:H52-$AK$24:$AL$24)))</f>
        <v>0.27564094058485483</v>
      </c>
      <c r="AI66" s="23">
        <f t="shared" si="2"/>
        <v>0.87125509387818878</v>
      </c>
      <c r="AJ66" s="24" t="str">
        <f t="shared" si="3"/>
        <v/>
      </c>
    </row>
    <row r="67" spans="1:36">
      <c r="A67" s="4">
        <v>12</v>
      </c>
      <c r="B67" s="4" t="s">
        <v>208</v>
      </c>
      <c r="C67" s="4">
        <v>66</v>
      </c>
      <c r="D67" s="5">
        <v>1</v>
      </c>
      <c r="E67" s="4">
        <f t="shared" ref="E67:E130" ca="1" si="21">RANDBETWEEN(18,70)</f>
        <v>70</v>
      </c>
      <c r="F67" s="4" t="s">
        <v>13</v>
      </c>
      <c r="G67" s="4">
        <v>36.29</v>
      </c>
      <c r="H67" s="4">
        <v>28.43</v>
      </c>
      <c r="AH67" s="22">
        <f t="array" ref="AH67">MMULT(G53:H53-$AK$24:$AL$24,MMULT($AK$20:$AL$21,TRANSPOSE(G53:H53-$AK$24:$AL$24)))</f>
        <v>1.0338223985423778</v>
      </c>
      <c r="AI67" s="23">
        <f t="shared" si="2"/>
        <v>0.59635974246243673</v>
      </c>
      <c r="AJ67" s="24" t="str">
        <f t="shared" si="3"/>
        <v/>
      </c>
    </row>
    <row r="68" spans="1:36">
      <c r="A68" s="4">
        <v>13</v>
      </c>
      <c r="B68" s="4" t="s">
        <v>209</v>
      </c>
      <c r="C68" s="4">
        <v>67</v>
      </c>
      <c r="D68" s="5">
        <v>2</v>
      </c>
      <c r="E68" s="4">
        <f t="shared" ca="1" si="21"/>
        <v>51</v>
      </c>
      <c r="F68" s="4" t="s">
        <v>13</v>
      </c>
      <c r="G68" s="4">
        <v>28.43</v>
      </c>
      <c r="H68" s="4">
        <v>36.29</v>
      </c>
      <c r="AH68" s="22">
        <f t="array" ref="AH68">MMULT(G54:H54-$AK$24:$AL$24,MMULT($AK$20:$AL$21,TRANSPOSE(G54:H54-$AK$24:$AL$24)))</f>
        <v>1.0854496373904299</v>
      </c>
      <c r="AI68" s="23">
        <f t="shared" si="2"/>
        <v>0.58116253042484078</v>
      </c>
      <c r="AJ68" s="24" t="str">
        <f t="shared" si="3"/>
        <v/>
      </c>
    </row>
    <row r="69" spans="1:36">
      <c r="A69" s="4">
        <v>14</v>
      </c>
      <c r="B69" s="4" t="s">
        <v>210</v>
      </c>
      <c r="C69" s="4">
        <v>68</v>
      </c>
      <c r="D69" s="5">
        <v>1</v>
      </c>
      <c r="E69" s="4">
        <f t="shared" ca="1" si="21"/>
        <v>32</v>
      </c>
      <c r="F69" s="4" t="s">
        <v>13</v>
      </c>
      <c r="G69" s="4">
        <v>16.600000000000001</v>
      </c>
      <c r="H69" s="4">
        <v>22.83</v>
      </c>
      <c r="AH69" s="22">
        <f t="array" ref="AH69">MMULT(G55:H55-$AK$24:$AL$24,MMULT($AK$20:$AL$21,TRANSPOSE(G55:H55-$AK$24:$AL$24)))</f>
        <v>1.7093064792688168</v>
      </c>
      <c r="AI69" s="23">
        <f t="shared" si="2"/>
        <v>0.42543068800865985</v>
      </c>
      <c r="AJ69" s="24" t="str">
        <f t="shared" si="3"/>
        <v/>
      </c>
    </row>
    <row r="70" spans="1:36">
      <c r="A70" s="4">
        <v>15</v>
      </c>
      <c r="B70" s="4" t="s">
        <v>211</v>
      </c>
      <c r="C70" s="4">
        <v>69</v>
      </c>
      <c r="D70" s="5">
        <v>2</v>
      </c>
      <c r="E70" s="4">
        <f t="shared" ca="1" si="21"/>
        <v>31</v>
      </c>
      <c r="F70" s="4" t="s">
        <v>13</v>
      </c>
      <c r="G70" s="4">
        <v>3.23</v>
      </c>
      <c r="H70" s="4">
        <v>20.350000000000001</v>
      </c>
      <c r="AH70" s="22">
        <f t="array" ref="AH70">MMULT(G56:H56-$AK$24:$AL$24,MMULT($AK$20:$AL$21,TRANSPOSE(G56:H56-$AK$24:$AL$24)))</f>
        <v>0.34789213512906775</v>
      </c>
      <c r="AI70" s="23">
        <f t="shared" si="2"/>
        <v>0.84034221813874777</v>
      </c>
      <c r="AJ70" s="24" t="str">
        <f t="shared" si="3"/>
        <v/>
      </c>
    </row>
    <row r="71" spans="1:36">
      <c r="A71" s="4">
        <v>16</v>
      </c>
      <c r="B71" s="4" t="s">
        <v>212</v>
      </c>
      <c r="C71" s="4">
        <v>70</v>
      </c>
      <c r="D71" s="5">
        <v>1</v>
      </c>
      <c r="E71" s="4">
        <f t="shared" ca="1" si="21"/>
        <v>46</v>
      </c>
      <c r="F71" s="4" t="s">
        <v>13</v>
      </c>
      <c r="G71" s="4">
        <v>17.350000000000001</v>
      </c>
      <c r="H71" s="4">
        <v>15.67</v>
      </c>
      <c r="AH71" s="22">
        <f t="array" ref="AH71">MMULT(G57:H57-$AK$24:$AL$24,MMULT($AK$20:$AL$21,TRANSPOSE(G57:H57-$AK$24:$AL$24)))</f>
        <v>0.38173527242394123</v>
      </c>
      <c r="AI71" s="23">
        <f t="shared" si="2"/>
        <v>0.82624194542728802</v>
      </c>
      <c r="AJ71" s="24" t="str">
        <f t="shared" si="3"/>
        <v/>
      </c>
    </row>
    <row r="72" spans="1:36">
      <c r="A72" s="4">
        <v>17</v>
      </c>
      <c r="B72" s="4" t="s">
        <v>213</v>
      </c>
      <c r="C72" s="4">
        <v>71</v>
      </c>
      <c r="D72" s="5">
        <v>2</v>
      </c>
      <c r="E72" s="4">
        <f t="shared" ca="1" si="21"/>
        <v>48</v>
      </c>
      <c r="F72" s="4" t="s">
        <v>13</v>
      </c>
      <c r="G72" s="4">
        <v>3.5</v>
      </c>
      <c r="H72" s="4">
        <v>7.96</v>
      </c>
      <c r="AH72" s="22">
        <f t="array" ref="AH72">MMULT(G58:H58-$AK$24:$AL$24,MMULT($AK$20:$AL$21,TRANSPOSE(G58:H58-$AK$24:$AL$24)))</f>
        <v>0.13229918684131844</v>
      </c>
      <c r="AI72" s="23">
        <f t="shared" si="2"/>
        <v>0.9359908357473804</v>
      </c>
      <c r="AJ72" s="24" t="str">
        <f t="shared" si="3"/>
        <v/>
      </c>
    </row>
    <row r="73" spans="1:36">
      <c r="A73" s="4">
        <v>18</v>
      </c>
      <c r="B73" s="4" t="s">
        <v>214</v>
      </c>
      <c r="C73" s="4">
        <v>72</v>
      </c>
      <c r="D73" s="5">
        <v>1</v>
      </c>
      <c r="E73" s="4">
        <f t="shared" ca="1" si="21"/>
        <v>39</v>
      </c>
      <c r="F73" s="4" t="s">
        <v>13</v>
      </c>
      <c r="G73" s="4">
        <v>21.79</v>
      </c>
      <c r="H73" s="4">
        <v>22.96</v>
      </c>
      <c r="AH73" s="22">
        <f t="array" ref="AH73">MMULT(G59:H59-$AK$24:$AL$24,MMULT($AK$20:$AL$21,TRANSPOSE(G59:H59-$AK$24:$AL$24)))</f>
        <v>0.28500178516958596</v>
      </c>
      <c r="AI73" s="23">
        <f t="shared" si="2"/>
        <v>0.86718678025417673</v>
      </c>
      <c r="AJ73" s="24" t="str">
        <f t="shared" si="3"/>
        <v/>
      </c>
    </row>
    <row r="74" spans="1:36">
      <c r="A74" s="4">
        <v>19</v>
      </c>
      <c r="B74" s="4" t="s">
        <v>215</v>
      </c>
      <c r="C74" s="4">
        <v>73</v>
      </c>
      <c r="D74" s="5">
        <v>2</v>
      </c>
      <c r="E74" s="4">
        <f t="shared" ca="1" si="21"/>
        <v>50</v>
      </c>
      <c r="F74" s="4" t="s">
        <v>13</v>
      </c>
      <c r="G74" s="4">
        <v>27.89</v>
      </c>
      <c r="H74" s="4">
        <v>27.89</v>
      </c>
      <c r="AH74" s="22">
        <f t="array" ref="AH74">MMULT(G60:H60-$AK$24:$AL$24,MMULT($AK$20:$AL$21,TRANSPOSE(G60:H60-$AK$24:$AL$24)))</f>
        <v>8.6767640510224862</v>
      </c>
      <c r="AI74" s="23">
        <f t="shared" si="2"/>
        <v>1.3057638046481424E-2</v>
      </c>
      <c r="AJ74" s="24" t="str">
        <f t="shared" si="3"/>
        <v/>
      </c>
    </row>
    <row r="75" spans="1:36">
      <c r="A75" s="4">
        <v>20</v>
      </c>
      <c r="B75" s="4" t="s">
        <v>216</v>
      </c>
      <c r="C75" s="4">
        <v>74</v>
      </c>
      <c r="D75" s="5">
        <v>2</v>
      </c>
      <c r="E75" s="4">
        <f t="shared" ca="1" si="21"/>
        <v>21</v>
      </c>
      <c r="F75" s="4" t="s">
        <v>13</v>
      </c>
      <c r="G75" s="4">
        <v>2.29</v>
      </c>
      <c r="H75" s="4">
        <v>16.25</v>
      </c>
      <c r="AH75" s="22">
        <f t="array" ref="AH75">MMULT(G61:H61-$AK$24:$AL$24,MMULT($AK$20:$AL$21,TRANSPOSE(G61:H61-$AK$24:$AL$24)))</f>
        <v>2.4809633772203088</v>
      </c>
      <c r="AI75" s="23">
        <f t="shared" si="2"/>
        <v>0.28924485842395109</v>
      </c>
      <c r="AJ75" s="24" t="str">
        <f t="shared" si="3"/>
        <v/>
      </c>
    </row>
    <row r="76" spans="1:36">
      <c r="A76" s="4">
        <v>21</v>
      </c>
      <c r="B76" s="4" t="s">
        <v>217</v>
      </c>
      <c r="C76" s="4">
        <v>75</v>
      </c>
      <c r="D76" s="5">
        <v>2</v>
      </c>
      <c r="E76" s="4">
        <f t="shared" ca="1" si="21"/>
        <v>30</v>
      </c>
      <c r="F76" s="4" t="s">
        <v>13</v>
      </c>
      <c r="G76" s="4">
        <v>29.05</v>
      </c>
      <c r="H76" s="4">
        <v>26.19</v>
      </c>
      <c r="AH76" s="22">
        <f t="array" ref="AH76">MMULT(G62:H62-$AK$24:$AL$24,MMULT($AK$20:$AL$21,TRANSPOSE(G62:H62-$AK$24:$AL$24)))</f>
        <v>4.103027771055789</v>
      </c>
      <c r="AI76" s="23">
        <f t="shared" si="2"/>
        <v>0.12854016112641808</v>
      </c>
      <c r="AJ76" s="24" t="str">
        <f t="shared" si="3"/>
        <v/>
      </c>
    </row>
    <row r="77" spans="1:36">
      <c r="A77" s="4">
        <v>22</v>
      </c>
      <c r="B77" s="4" t="s">
        <v>218</v>
      </c>
      <c r="C77" s="4">
        <v>76</v>
      </c>
      <c r="D77" s="5">
        <v>1</v>
      </c>
      <c r="E77" s="4">
        <f t="shared" ca="1" si="21"/>
        <v>66</v>
      </c>
      <c r="F77" s="4" t="s">
        <v>13</v>
      </c>
      <c r="G77" s="4">
        <v>31.71</v>
      </c>
      <c r="H77" s="4">
        <v>40.17</v>
      </c>
      <c r="AH77" s="22">
        <f t="array" ref="AH77">MMULT(G63:H63-$AK$24:$AL$24,MMULT($AK$20:$AL$21,TRANSPOSE(G63:H63-$AK$24:$AL$24)))</f>
        <v>1.4339572491152572</v>
      </c>
      <c r="AI77" s="23">
        <f t="shared" si="2"/>
        <v>0.48822514122186617</v>
      </c>
      <c r="AJ77" s="24" t="str">
        <f t="shared" si="3"/>
        <v/>
      </c>
    </row>
    <row r="78" spans="1:36">
      <c r="A78" s="4">
        <v>23</v>
      </c>
      <c r="B78" s="4" t="s">
        <v>219</v>
      </c>
      <c r="C78" s="4">
        <v>77</v>
      </c>
      <c r="D78" s="5">
        <v>1</v>
      </c>
      <c r="E78" s="4">
        <f t="shared" ca="1" si="21"/>
        <v>41</v>
      </c>
      <c r="F78" s="4" t="s">
        <v>13</v>
      </c>
      <c r="G78" s="4">
        <v>20.43</v>
      </c>
      <c r="H78" s="4">
        <v>26.55</v>
      </c>
      <c r="AH78" s="22">
        <f t="array" ref="AH78">MMULT(G64:H64-$AK$24:$AL$24,MMULT($AK$20:$AL$21,TRANSPOSE(G64:H64-$AK$24:$AL$24)))</f>
        <v>0.11550973306874898</v>
      </c>
      <c r="AI78" s="23">
        <f t="shared" si="2"/>
        <v>0.94388129597322679</v>
      </c>
      <c r="AJ78" s="24" t="str">
        <f t="shared" si="3"/>
        <v/>
      </c>
    </row>
    <row r="79" spans="1:36">
      <c r="A79" s="4">
        <v>24</v>
      </c>
      <c r="B79" s="4" t="s">
        <v>220</v>
      </c>
      <c r="C79" s="4">
        <v>78</v>
      </c>
      <c r="D79" s="5">
        <v>1</v>
      </c>
      <c r="E79" s="4">
        <f t="shared" ca="1" si="21"/>
        <v>26</v>
      </c>
      <c r="F79" s="4" t="s">
        <v>13</v>
      </c>
      <c r="G79" s="4">
        <v>21.31</v>
      </c>
      <c r="H79" s="4">
        <v>23.54</v>
      </c>
      <c r="AH79" s="22">
        <f t="array" ref="AH79">MMULT(G65:H65-$AK$24:$AL$24,MMULT($AK$20:$AL$21,TRANSPOSE(G65:H65-$AK$24:$AL$24)))</f>
        <v>0.42424641296068216</v>
      </c>
      <c r="AI79" s="23">
        <f t="shared" si="2"/>
        <v>0.80886503401311638</v>
      </c>
      <c r="AJ79" s="24" t="str">
        <f t="shared" si="3"/>
        <v/>
      </c>
    </row>
    <row r="80" spans="1:36">
      <c r="A80" s="4">
        <v>25</v>
      </c>
      <c r="B80" s="4" t="s">
        <v>221</v>
      </c>
      <c r="C80" s="4">
        <v>79</v>
      </c>
      <c r="D80" s="5">
        <v>2</v>
      </c>
      <c r="E80" s="4">
        <f t="shared" ca="1" si="21"/>
        <v>58</v>
      </c>
      <c r="F80" s="4" t="s">
        <v>13</v>
      </c>
      <c r="G80" s="4">
        <v>20.55</v>
      </c>
      <c r="H80" s="4">
        <v>23.19</v>
      </c>
      <c r="AH80" s="22">
        <f t="array" ref="AH80">MMULT(G66:H66-$AK$24:$AL$24,MMULT($AK$20:$AL$21,TRANSPOSE(G66:H66-$AK$24:$AL$24)))</f>
        <v>0.64733351488484525</v>
      </c>
      <c r="AI80" s="23">
        <f t="shared" si="2"/>
        <v>0.72349130030353026</v>
      </c>
      <c r="AJ80" s="24" t="str">
        <f t="shared" si="3"/>
        <v/>
      </c>
    </row>
    <row r="81" spans="1:36">
      <c r="A81" s="4">
        <v>26</v>
      </c>
      <c r="B81" s="4" t="s">
        <v>222</v>
      </c>
      <c r="C81" s="4">
        <v>80</v>
      </c>
      <c r="D81" s="5">
        <v>1</v>
      </c>
      <c r="E81" s="4">
        <f t="shared" ca="1" si="21"/>
        <v>19</v>
      </c>
      <c r="F81" s="4" t="s">
        <v>13</v>
      </c>
      <c r="G81" s="4">
        <v>23.85</v>
      </c>
      <c r="H81" s="4">
        <v>28.43</v>
      </c>
      <c r="AH81" s="22">
        <f t="array" ref="AH81">MMULT(G67:H67-$AK$24:$AL$24,MMULT($AK$20:$AL$21,TRANSPOSE(G67:H67-$AK$24:$AL$24)))</f>
        <v>2.8705518365107494</v>
      </c>
      <c r="AI81" s="23">
        <f t="shared" ref="AI81:AI144" si="22">_xlfn.CHISQ.DIST.RT(AH81,COUNT($G$2:$H$2))</f>
        <v>0.23804967270200314</v>
      </c>
      <c r="AJ81" s="24" t="str">
        <f t="shared" ref="AJ81:AJ144" si="23">IF(AI81&lt;0.001,"*","")</f>
        <v/>
      </c>
    </row>
    <row r="82" spans="1:36">
      <c r="A82" s="4">
        <v>27</v>
      </c>
      <c r="B82" s="4" t="s">
        <v>223</v>
      </c>
      <c r="C82" s="4">
        <v>81</v>
      </c>
      <c r="D82" s="5">
        <v>1</v>
      </c>
      <c r="E82" s="4">
        <f t="shared" ca="1" si="21"/>
        <v>20</v>
      </c>
      <c r="F82" s="4" t="s">
        <v>13</v>
      </c>
      <c r="G82" s="4">
        <v>27.59</v>
      </c>
      <c r="H82" s="4">
        <v>30.61</v>
      </c>
      <c r="AH82" s="22">
        <f t="array" ref="AH82">MMULT(G68:H68-$AK$24:$AL$24,MMULT($AK$20:$AL$21,TRANSPOSE(G68:H68-$AK$24:$AL$24)))</f>
        <v>2.9022202906683257</v>
      </c>
      <c r="AI82" s="23">
        <f t="shared" si="22"/>
        <v>0.23431002547433288</v>
      </c>
      <c r="AJ82" s="24" t="str">
        <f t="shared" si="23"/>
        <v/>
      </c>
    </row>
    <row r="83" spans="1:36">
      <c r="A83" s="4">
        <v>1</v>
      </c>
      <c r="B83" s="4" t="s">
        <v>224</v>
      </c>
      <c r="C83" s="4">
        <v>82</v>
      </c>
      <c r="D83" s="5">
        <v>1</v>
      </c>
      <c r="E83" s="4">
        <f t="shared" ca="1" si="21"/>
        <v>50</v>
      </c>
      <c r="F83" s="4" t="s">
        <v>14</v>
      </c>
      <c r="G83" s="4">
        <v>16.07</v>
      </c>
      <c r="H83" s="4">
        <v>16.5</v>
      </c>
      <c r="AH83" s="22">
        <f t="array" ref="AH83">MMULT(G69:H69-$AK$24:$AL$24,MMULT($AK$20:$AL$21,TRANSPOSE(G69:H69-$AK$24:$AL$24)))</f>
        <v>0.70465301898676125</v>
      </c>
      <c r="AI83" s="23">
        <f t="shared" si="22"/>
        <v>0.70305053182373167</v>
      </c>
      <c r="AJ83" s="24" t="str">
        <f t="shared" si="23"/>
        <v/>
      </c>
    </row>
    <row r="84" spans="1:36">
      <c r="A84" s="4">
        <v>2</v>
      </c>
      <c r="B84" s="4" t="s">
        <v>225</v>
      </c>
      <c r="C84" s="4">
        <v>83</v>
      </c>
      <c r="D84" s="5">
        <v>1</v>
      </c>
      <c r="E84" s="4">
        <f t="shared" ca="1" si="21"/>
        <v>24</v>
      </c>
      <c r="F84" s="4" t="s">
        <v>14</v>
      </c>
      <c r="G84" s="4">
        <v>39.340000000000003</v>
      </c>
      <c r="H84" s="4">
        <v>31.42</v>
      </c>
      <c r="AH84" s="22">
        <f t="array" ref="AH84">MMULT(G70:H70-$AK$24:$AL$24,MMULT($AK$20:$AL$21,TRANSPOSE(G70:H70-$AK$24:$AL$24)))</f>
        <v>6.9474822911668346</v>
      </c>
      <c r="AI84" s="23">
        <f t="shared" si="22"/>
        <v>3.100083480756096E-2</v>
      </c>
      <c r="AJ84" s="24" t="str">
        <f t="shared" si="23"/>
        <v/>
      </c>
    </row>
    <row r="85" spans="1:36">
      <c r="A85" s="4">
        <v>3</v>
      </c>
      <c r="B85" s="4" t="s">
        <v>226</v>
      </c>
      <c r="C85" s="4">
        <v>84</v>
      </c>
      <c r="D85" s="5">
        <v>2</v>
      </c>
      <c r="E85" s="4">
        <f t="shared" ca="1" si="21"/>
        <v>22</v>
      </c>
      <c r="F85" s="4" t="s">
        <v>14</v>
      </c>
      <c r="G85" s="4">
        <v>16.600000000000001</v>
      </c>
      <c r="H85" s="4">
        <v>13.53</v>
      </c>
      <c r="AH85" s="22">
        <f t="array" ref="AH85">MMULT(G71:H71-$AK$24:$AL$24,MMULT($AK$20:$AL$21,TRANSPOSE(G71:H71-$AK$24:$AL$24)))</f>
        <v>0.58910249812068805</v>
      </c>
      <c r="AI85" s="23">
        <f t="shared" si="22"/>
        <v>0.74486577169252299</v>
      </c>
      <c r="AJ85" s="24" t="str">
        <f t="shared" si="23"/>
        <v/>
      </c>
    </row>
    <row r="86" spans="1:36">
      <c r="A86" s="4">
        <v>4</v>
      </c>
      <c r="B86" s="4" t="s">
        <v>227</v>
      </c>
      <c r="C86" s="4">
        <v>85</v>
      </c>
      <c r="D86" s="5">
        <v>1</v>
      </c>
      <c r="E86" s="4">
        <f t="shared" ca="1" si="21"/>
        <v>69</v>
      </c>
      <c r="F86" s="4" t="s">
        <v>14</v>
      </c>
      <c r="G86" s="4">
        <v>16.04</v>
      </c>
      <c r="H86" s="4">
        <v>16.62</v>
      </c>
      <c r="AH86" s="22">
        <f t="array" ref="AH86">MMULT(G72:H72-$AK$24:$AL$24,MMULT($AK$20:$AL$21,TRANSPOSE(G72:H72-$AK$24:$AL$24)))</f>
        <v>3.6149832732094995</v>
      </c>
      <c r="AI86" s="23">
        <f t="shared" si="22"/>
        <v>0.16406515612634709</v>
      </c>
      <c r="AJ86" s="24" t="str">
        <f t="shared" si="23"/>
        <v/>
      </c>
    </row>
    <row r="87" spans="1:36">
      <c r="A87" s="4">
        <v>5</v>
      </c>
      <c r="B87" s="4" t="s">
        <v>228</v>
      </c>
      <c r="C87" s="4">
        <v>86</v>
      </c>
      <c r="D87" s="5">
        <v>1</v>
      </c>
      <c r="E87" s="4">
        <f t="shared" ca="1" si="21"/>
        <v>51</v>
      </c>
      <c r="F87" s="4" t="s">
        <v>14</v>
      </c>
      <c r="G87" s="4">
        <v>26.16</v>
      </c>
      <c r="H87" s="4">
        <v>24.05</v>
      </c>
      <c r="AH87" s="22">
        <f t="array" ref="AH87">MMULT(G73:H73-$AK$24:$AL$24,MMULT($AK$20:$AL$21,TRANSPOSE(G73:H73-$AK$24:$AL$24)))</f>
        <v>6.4475134826743313E-3</v>
      </c>
      <c r="AI87" s="23">
        <f t="shared" si="22"/>
        <v>0.99678143398305075</v>
      </c>
      <c r="AJ87" s="24" t="str">
        <f t="shared" si="23"/>
        <v/>
      </c>
    </row>
    <row r="88" spans="1:36">
      <c r="A88" s="4">
        <v>6</v>
      </c>
      <c r="B88" s="4" t="s">
        <v>229</v>
      </c>
      <c r="C88" s="4">
        <v>87</v>
      </c>
      <c r="D88" s="5">
        <v>2</v>
      </c>
      <c r="E88" s="4">
        <f t="shared" ca="1" si="21"/>
        <v>38</v>
      </c>
      <c r="F88" s="4" t="s">
        <v>14</v>
      </c>
      <c r="G88" s="4">
        <v>7.9</v>
      </c>
      <c r="H88" s="4">
        <v>23.02</v>
      </c>
      <c r="AH88" s="22">
        <f t="array" ref="AH88">MMULT(G74:H74-$AK$24:$AL$24,MMULT($AK$20:$AL$21,TRANSPOSE(G74:H74-$AK$24:$AL$24)))</f>
        <v>0.47599311264872812</v>
      </c>
      <c r="AI88" s="23">
        <f t="shared" si="22"/>
        <v>0.78820540541284756</v>
      </c>
      <c r="AJ88" s="24" t="str">
        <f t="shared" si="23"/>
        <v/>
      </c>
    </row>
    <row r="89" spans="1:36">
      <c r="A89" s="4">
        <v>7</v>
      </c>
      <c r="B89" s="4" t="s">
        <v>230</v>
      </c>
      <c r="C89" s="4">
        <v>88</v>
      </c>
      <c r="D89" s="5">
        <v>1</v>
      </c>
      <c r="E89" s="4">
        <f t="shared" ca="1" si="21"/>
        <v>64</v>
      </c>
      <c r="F89" s="4" t="s">
        <v>14</v>
      </c>
      <c r="G89" s="4">
        <v>22.37</v>
      </c>
      <c r="H89" s="4">
        <v>19.329999999999998</v>
      </c>
      <c r="AH89" s="22">
        <f t="array" ref="AH89">MMULT(G75:H75-$AK$24:$AL$24,MMULT($AK$20:$AL$21,TRANSPOSE(G75:H75-$AK$24:$AL$24)))</f>
        <v>5.549439740985453</v>
      </c>
      <c r="AI89" s="23">
        <f t="shared" si="22"/>
        <v>6.2366945064446636E-2</v>
      </c>
      <c r="AJ89" s="24" t="str">
        <f t="shared" si="23"/>
        <v/>
      </c>
    </row>
    <row r="90" spans="1:36">
      <c r="A90" s="4">
        <v>8</v>
      </c>
      <c r="B90" s="4" t="s">
        <v>231</v>
      </c>
      <c r="C90" s="4">
        <v>89</v>
      </c>
      <c r="D90" s="5">
        <v>2</v>
      </c>
      <c r="E90" s="4">
        <f t="shared" ca="1" si="21"/>
        <v>69</v>
      </c>
      <c r="F90" s="4" t="s">
        <v>14</v>
      </c>
      <c r="G90" s="4">
        <v>34.28</v>
      </c>
      <c r="H90" s="4">
        <v>33.1</v>
      </c>
      <c r="AH90" s="22">
        <f t="array" ref="AH90">MMULT(G76:H76-$AK$24:$AL$24,MMULT($AK$20:$AL$21,TRANSPOSE(G76:H76-$AK$24:$AL$24)))</f>
        <v>0.67033529270818648</v>
      </c>
      <c r="AI90" s="23">
        <f t="shared" si="22"/>
        <v>0.71521817258227294</v>
      </c>
      <c r="AJ90" s="24" t="str">
        <f t="shared" si="23"/>
        <v/>
      </c>
    </row>
    <row r="91" spans="1:36">
      <c r="A91" s="4">
        <v>9</v>
      </c>
      <c r="B91" s="4" t="s">
        <v>232</v>
      </c>
      <c r="C91" s="4">
        <v>90</v>
      </c>
      <c r="D91" s="5">
        <v>2</v>
      </c>
      <c r="E91" s="4">
        <f t="shared" ca="1" si="21"/>
        <v>67</v>
      </c>
      <c r="F91" s="4" t="s">
        <v>14</v>
      </c>
      <c r="G91" s="4">
        <v>30.33</v>
      </c>
      <c r="H91" s="4">
        <v>28.92</v>
      </c>
      <c r="AH91" s="22">
        <f t="array" ref="AH91">MMULT(G77:H77-$AK$24:$AL$24,MMULT($AK$20:$AL$21,TRANSPOSE(G77:H77-$AK$24:$AL$24)))</f>
        <v>4.4130641936505883</v>
      </c>
      <c r="AI91" s="23">
        <f t="shared" si="22"/>
        <v>0.1100817401552909</v>
      </c>
      <c r="AJ91" s="24" t="str">
        <f t="shared" si="23"/>
        <v/>
      </c>
    </row>
    <row r="92" spans="1:36">
      <c r="A92" s="4">
        <v>10</v>
      </c>
      <c r="B92" s="4" t="s">
        <v>233</v>
      </c>
      <c r="C92" s="4">
        <v>91</v>
      </c>
      <c r="D92" s="5">
        <v>2</v>
      </c>
      <c r="E92" s="4">
        <f t="shared" ca="1" si="21"/>
        <v>64</v>
      </c>
      <c r="F92" s="4" t="s">
        <v>14</v>
      </c>
      <c r="G92" s="4">
        <v>17.41</v>
      </c>
      <c r="H92" s="4">
        <v>23.55</v>
      </c>
      <c r="AH92" s="22">
        <f t="array" ref="AH92">MMULT(G78:H78-$AK$24:$AL$24,MMULT($AK$20:$AL$21,TRANSPOSE(G78:H78-$AK$24:$AL$24)))</f>
        <v>0.7214979514823805</v>
      </c>
      <c r="AI92" s="23">
        <f t="shared" si="22"/>
        <v>0.69715397906463739</v>
      </c>
      <c r="AJ92" s="24" t="str">
        <f t="shared" si="23"/>
        <v/>
      </c>
    </row>
    <row r="93" spans="1:36">
      <c r="A93" s="4">
        <v>11</v>
      </c>
      <c r="B93" s="4" t="s">
        <v>234</v>
      </c>
      <c r="C93" s="4">
        <v>92</v>
      </c>
      <c r="D93" s="5">
        <v>1</v>
      </c>
      <c r="E93" s="4">
        <f t="shared" ca="1" si="21"/>
        <v>50</v>
      </c>
      <c r="F93" s="4" t="s">
        <v>14</v>
      </c>
      <c r="G93" s="4">
        <v>3.76</v>
      </c>
      <c r="H93" s="4">
        <v>10.3</v>
      </c>
      <c r="AH93" s="22">
        <f t="array" ref="AH93">MMULT(G79:H79-$AK$24:$AL$24,MMULT($AK$20:$AL$21,TRANSPOSE(G79:H79-$AK$24:$AL$24)))</f>
        <v>5.325399880199428E-2</v>
      </c>
      <c r="AI93" s="23">
        <f t="shared" si="22"/>
        <v>0.97372437357049668</v>
      </c>
      <c r="AJ93" s="24" t="str">
        <f t="shared" si="23"/>
        <v/>
      </c>
    </row>
    <row r="94" spans="1:36">
      <c r="A94" s="4">
        <v>12</v>
      </c>
      <c r="B94" s="4" t="s">
        <v>235</v>
      </c>
      <c r="C94" s="4">
        <v>93</v>
      </c>
      <c r="D94" s="5">
        <v>2</v>
      </c>
      <c r="E94" s="4">
        <f t="shared" ca="1" si="21"/>
        <v>51</v>
      </c>
      <c r="F94" s="4" t="s">
        <v>14</v>
      </c>
      <c r="G94" s="4">
        <v>19.98</v>
      </c>
      <c r="H94" s="4">
        <v>25.07</v>
      </c>
      <c r="AH94" s="22">
        <f t="array" ref="AH94">MMULT(G80:H80-$AK$24:$AL$24,MMULT($AK$20:$AL$21,TRANSPOSE(G80:H80-$AK$24:$AL$24)))</f>
        <v>7.7900021488618826E-2</v>
      </c>
      <c r="AI94" s="23">
        <f t="shared" si="22"/>
        <v>0.96179878755016868</v>
      </c>
      <c r="AJ94" s="24" t="str">
        <f t="shared" si="23"/>
        <v/>
      </c>
    </row>
    <row r="95" spans="1:36">
      <c r="A95" s="4">
        <v>13</v>
      </c>
      <c r="B95" s="4" t="s">
        <v>236</v>
      </c>
      <c r="C95" s="4">
        <v>94</v>
      </c>
      <c r="D95" s="5">
        <v>2</v>
      </c>
      <c r="E95" s="4">
        <f t="shared" ca="1" si="21"/>
        <v>21</v>
      </c>
      <c r="F95" s="4" t="s">
        <v>14</v>
      </c>
      <c r="G95" s="4">
        <v>2.56</v>
      </c>
      <c r="H95" s="4">
        <v>8.67</v>
      </c>
      <c r="AH95" s="22">
        <f t="array" ref="AH95">MMULT(G81:H81-$AK$24:$AL$24,MMULT($AK$20:$AL$21,TRANSPOSE(G81:H81-$AK$24:$AL$24)))</f>
        <v>0.63088240595789447</v>
      </c>
      <c r="AI95" s="23">
        <f t="shared" si="22"/>
        <v>0.72946696026365776</v>
      </c>
      <c r="AJ95" s="24" t="str">
        <f t="shared" si="23"/>
        <v/>
      </c>
    </row>
    <row r="96" spans="1:36">
      <c r="A96" s="4">
        <v>14</v>
      </c>
      <c r="B96" s="4" t="s">
        <v>237</v>
      </c>
      <c r="C96" s="4">
        <v>95</v>
      </c>
      <c r="D96" s="5">
        <v>2</v>
      </c>
      <c r="E96" s="4">
        <f t="shared" ca="1" si="21"/>
        <v>67</v>
      </c>
      <c r="F96" s="4" t="s">
        <v>14</v>
      </c>
      <c r="G96" s="4">
        <v>4.01</v>
      </c>
      <c r="H96" s="4">
        <v>19.98</v>
      </c>
      <c r="AH96" s="22">
        <f t="array" ref="AH96">MMULT(G82:H82-$AK$24:$AL$24,MMULT($AK$20:$AL$21,TRANSPOSE(G82:H82-$AK$24:$AL$24)))</f>
        <v>0.86729294371607424</v>
      </c>
      <c r="AI96" s="23">
        <f t="shared" si="22"/>
        <v>0.64814135119469152</v>
      </c>
      <c r="AJ96" s="24" t="str">
        <f t="shared" si="23"/>
        <v/>
      </c>
    </row>
    <row r="97" spans="1:36">
      <c r="A97" s="4">
        <v>15</v>
      </c>
      <c r="B97" s="4" t="s">
        <v>238</v>
      </c>
      <c r="C97" s="4">
        <v>96</v>
      </c>
      <c r="D97" s="5">
        <v>1</v>
      </c>
      <c r="E97" s="4">
        <f t="shared" ca="1" si="21"/>
        <v>19</v>
      </c>
      <c r="F97" s="4" t="s">
        <v>14</v>
      </c>
      <c r="G97" s="4">
        <v>12.84</v>
      </c>
      <c r="H97" s="4">
        <v>15.68</v>
      </c>
      <c r="AH97" s="22">
        <f t="array" ref="AH97">MMULT(G83:H83-$AK$24:$AL$24,MMULT($AK$20:$AL$21,TRANSPOSE(G83:H83-$AK$24:$AL$24)))</f>
        <v>0.43909110390974482</v>
      </c>
      <c r="AI97" s="23">
        <f t="shared" si="22"/>
        <v>0.80288358394325055</v>
      </c>
      <c r="AJ97" s="24" t="str">
        <f t="shared" si="23"/>
        <v/>
      </c>
    </row>
    <row r="98" spans="1:36">
      <c r="A98" s="4">
        <v>16</v>
      </c>
      <c r="B98" s="4" t="s">
        <v>239</v>
      </c>
      <c r="C98" s="4">
        <v>97</v>
      </c>
      <c r="D98" s="5">
        <v>2</v>
      </c>
      <c r="E98" s="4">
        <f t="shared" ca="1" si="21"/>
        <v>25</v>
      </c>
      <c r="F98" s="4" t="s">
        <v>14</v>
      </c>
      <c r="G98" s="4">
        <v>6.84</v>
      </c>
      <c r="H98" s="4">
        <v>4.4800000000000004</v>
      </c>
      <c r="AH98" s="22">
        <f t="array" ref="AH98">MMULT(G84:H84-$AK$24:$AL$24,MMULT($AK$20:$AL$21,TRANSPOSE(G84:H84-$AK$24:$AL$24)))</f>
        <v>3.7636339379540384</v>
      </c>
      <c r="AI98" s="23">
        <f t="shared" si="22"/>
        <v>0.15231310599471748</v>
      </c>
      <c r="AJ98" s="24" t="str">
        <f t="shared" si="23"/>
        <v/>
      </c>
    </row>
    <row r="99" spans="1:36">
      <c r="A99" s="4">
        <v>17</v>
      </c>
      <c r="B99" s="4" t="s">
        <v>240</v>
      </c>
      <c r="C99" s="4">
        <v>98</v>
      </c>
      <c r="D99" s="5">
        <v>1</v>
      </c>
      <c r="E99" s="4">
        <f t="shared" ca="1" si="21"/>
        <v>19</v>
      </c>
      <c r="F99" s="4" t="s">
        <v>14</v>
      </c>
      <c r="G99" s="4">
        <v>33.409999999999997</v>
      </c>
      <c r="H99" s="4">
        <v>33.17</v>
      </c>
      <c r="AH99" s="22">
        <f t="array" ref="AH99">MMULT(G85:H85-$AK$24:$AL$24,MMULT($AK$20:$AL$21,TRANSPOSE(G85:H85-$AK$24:$AL$24)))</f>
        <v>1.0831927732243418</v>
      </c>
      <c r="AI99" s="23">
        <f t="shared" si="22"/>
        <v>0.58181870302311256</v>
      </c>
      <c r="AJ99" s="24" t="str">
        <f t="shared" si="23"/>
        <v/>
      </c>
    </row>
    <row r="100" spans="1:36">
      <c r="A100" s="4">
        <v>18</v>
      </c>
      <c r="B100" s="4" t="s">
        <v>241</v>
      </c>
      <c r="C100" s="4">
        <v>99</v>
      </c>
      <c r="D100" s="5">
        <v>2</v>
      </c>
      <c r="E100" s="4">
        <f t="shared" ca="1" si="21"/>
        <v>69</v>
      </c>
      <c r="F100" s="4" t="s">
        <v>14</v>
      </c>
      <c r="G100" s="4">
        <v>13.62</v>
      </c>
      <c r="H100" s="4">
        <v>27.64</v>
      </c>
      <c r="AH100" s="22">
        <f t="array" ref="AH100">MMULT(G86:H86-$AK$24:$AL$24,MMULT($AK$20:$AL$21,TRANSPOSE(G86:H86-$AK$24:$AL$24)))</f>
        <v>0.42694513102435827</v>
      </c>
      <c r="AI100" s="23">
        <f t="shared" si="22"/>
        <v>0.80777432072134325</v>
      </c>
      <c r="AJ100" s="24" t="str">
        <f t="shared" si="23"/>
        <v/>
      </c>
    </row>
    <row r="101" spans="1:36">
      <c r="A101" s="4">
        <v>19</v>
      </c>
      <c r="B101" s="4" t="s">
        <v>242</v>
      </c>
      <c r="C101" s="4">
        <v>100</v>
      </c>
      <c r="D101" s="5">
        <v>1</v>
      </c>
      <c r="E101" s="4">
        <f t="shared" ca="1" si="21"/>
        <v>35</v>
      </c>
      <c r="F101" s="4" t="s">
        <v>14</v>
      </c>
      <c r="G101" s="4">
        <v>18.690000000000001</v>
      </c>
      <c r="H101" s="4">
        <v>15.7</v>
      </c>
      <c r="AH101" s="22">
        <f t="array" ref="AH101">MMULT(G87:H87-$AK$24:$AL$24,MMULT($AK$20:$AL$21,TRANSPOSE(G87:H87-$AK$24:$AL$24)))</f>
        <v>0.29895862499431208</v>
      </c>
      <c r="AI101" s="23">
        <f t="shared" si="22"/>
        <v>0.86115625300785981</v>
      </c>
      <c r="AJ101" s="24" t="str">
        <f t="shared" si="23"/>
        <v/>
      </c>
    </row>
    <row r="102" spans="1:36">
      <c r="A102" s="4">
        <v>20</v>
      </c>
      <c r="B102" s="4" t="s">
        <v>243</v>
      </c>
      <c r="C102" s="4">
        <v>101</v>
      </c>
      <c r="D102" s="5">
        <v>1</v>
      </c>
      <c r="E102" s="4">
        <f t="shared" ca="1" si="21"/>
        <v>61</v>
      </c>
      <c r="F102" s="4" t="s">
        <v>14</v>
      </c>
      <c r="G102" s="4">
        <v>2.5299999999999998</v>
      </c>
      <c r="H102" s="4">
        <v>11.46</v>
      </c>
      <c r="AH102" s="22">
        <f t="array" ref="AH102">MMULT(G88:H88-$AK$24:$AL$24,MMULT($AK$20:$AL$21,TRANSPOSE(G88:H88-$AK$24:$AL$24)))</f>
        <v>4.9784685952280396</v>
      </c>
      <c r="AI102" s="23">
        <f t="shared" si="22"/>
        <v>8.2973475245668171E-2</v>
      </c>
      <c r="AJ102" s="24" t="str">
        <f t="shared" si="23"/>
        <v/>
      </c>
    </row>
    <row r="103" spans="1:36">
      <c r="A103" s="4">
        <v>21</v>
      </c>
      <c r="B103" s="4" t="s">
        <v>244</v>
      </c>
      <c r="C103" s="4">
        <v>102</v>
      </c>
      <c r="D103" s="5">
        <v>2</v>
      </c>
      <c r="E103" s="4">
        <f t="shared" ca="1" si="21"/>
        <v>57</v>
      </c>
      <c r="F103" s="4" t="s">
        <v>14</v>
      </c>
      <c r="G103" s="4">
        <v>9.06</v>
      </c>
      <c r="H103" s="4">
        <v>16.61</v>
      </c>
      <c r="AH103" s="22">
        <f t="array" ref="AH103">MMULT(G89:H89-$AK$24:$AL$24,MMULT($AK$20:$AL$21,TRANSPOSE(G89:H89-$AK$24:$AL$24)))</f>
        <v>0.37532871960631836</v>
      </c>
      <c r="AI103" s="23">
        <f t="shared" si="22"/>
        <v>0.82889287031486591</v>
      </c>
      <c r="AJ103" s="24" t="str">
        <f t="shared" si="23"/>
        <v/>
      </c>
    </row>
    <row r="104" spans="1:36">
      <c r="A104" s="4">
        <v>22</v>
      </c>
      <c r="B104" s="4" t="s">
        <v>245</v>
      </c>
      <c r="C104" s="4">
        <v>103</v>
      </c>
      <c r="D104" s="5">
        <v>2</v>
      </c>
      <c r="E104" s="4">
        <f t="shared" ca="1" si="21"/>
        <v>62</v>
      </c>
      <c r="F104" s="4" t="s">
        <v>14</v>
      </c>
      <c r="G104" s="4">
        <v>11.72</v>
      </c>
      <c r="H104" s="4">
        <v>22.13</v>
      </c>
      <c r="AH104" s="22">
        <f t="array" ref="AH104">MMULT(G90:H90-$AK$24:$AL$24,MMULT($AK$20:$AL$21,TRANSPOSE(G90:H90-$AK$24:$AL$24)))</f>
        <v>1.8664132311504973</v>
      </c>
      <c r="AI104" s="23">
        <f t="shared" si="22"/>
        <v>0.39329055460847756</v>
      </c>
      <c r="AJ104" s="24" t="str">
        <f t="shared" si="23"/>
        <v/>
      </c>
    </row>
    <row r="105" spans="1:36">
      <c r="A105" s="4">
        <v>23</v>
      </c>
      <c r="B105" s="4" t="s">
        <v>246</v>
      </c>
      <c r="C105" s="4">
        <v>104</v>
      </c>
      <c r="D105" s="5">
        <v>1</v>
      </c>
      <c r="E105" s="4">
        <f t="shared" ca="1" si="21"/>
        <v>51</v>
      </c>
      <c r="F105" s="4" t="s">
        <v>14</v>
      </c>
      <c r="G105" s="4">
        <v>23.52</v>
      </c>
      <c r="H105" s="4">
        <v>23.95</v>
      </c>
      <c r="AH105" s="22">
        <f t="array" ref="AH105">MMULT(G91:H91-$AK$24:$AL$24,MMULT($AK$20:$AL$21,TRANSPOSE(G91:H91-$AK$24:$AL$24)))</f>
        <v>0.84783630228944951</v>
      </c>
      <c r="AI105" s="23">
        <f t="shared" si="22"/>
        <v>0.65447744794658713</v>
      </c>
      <c r="AJ105" s="24" t="str">
        <f t="shared" si="23"/>
        <v/>
      </c>
    </row>
    <row r="106" spans="1:36">
      <c r="A106" s="4">
        <v>24</v>
      </c>
      <c r="B106" s="4" t="s">
        <v>247</v>
      </c>
      <c r="C106" s="4">
        <v>105</v>
      </c>
      <c r="D106" s="5">
        <v>1</v>
      </c>
      <c r="E106" s="4">
        <f t="shared" ca="1" si="21"/>
        <v>26</v>
      </c>
      <c r="F106" s="4" t="s">
        <v>14</v>
      </c>
      <c r="G106" s="4">
        <v>12.92</v>
      </c>
      <c r="H106" s="4">
        <v>19.28</v>
      </c>
      <c r="AH106" s="22">
        <f t="array" ref="AH106">MMULT(G92:H92-$AK$24:$AL$24,MMULT($AK$20:$AL$21,TRANSPOSE(G92:H92-$AK$24:$AL$24)))</f>
        <v>0.66074902146372572</v>
      </c>
      <c r="AI106" s="23">
        <f t="shared" si="22"/>
        <v>0.71865453918957778</v>
      </c>
      <c r="AJ106" s="24" t="str">
        <f t="shared" si="23"/>
        <v/>
      </c>
    </row>
    <row r="107" spans="1:36">
      <c r="A107" s="4">
        <v>25</v>
      </c>
      <c r="B107" s="4" t="s">
        <v>248</v>
      </c>
      <c r="C107" s="4">
        <v>106</v>
      </c>
      <c r="D107" s="5">
        <v>1</v>
      </c>
      <c r="E107" s="4">
        <f t="shared" ca="1" si="21"/>
        <v>22</v>
      </c>
      <c r="F107" s="4" t="s">
        <v>14</v>
      </c>
      <c r="G107" s="4">
        <v>26.97</v>
      </c>
      <c r="H107" s="4">
        <v>27.47</v>
      </c>
      <c r="AH107" s="22">
        <f t="array" ref="AH107">MMULT(G93:H93-$AK$24:$AL$24,MMULT($AK$20:$AL$21,TRANSPOSE(G93:H93-$AK$24:$AL$24)))</f>
        <v>3.4261224726946562</v>
      </c>
      <c r="AI107" s="23">
        <f t="shared" si="22"/>
        <v>0.18031296627653701</v>
      </c>
      <c r="AJ107" s="24" t="str">
        <f t="shared" si="23"/>
        <v/>
      </c>
    </row>
    <row r="108" spans="1:36">
      <c r="A108" s="4">
        <v>26</v>
      </c>
      <c r="B108" s="4" t="s">
        <v>249</v>
      </c>
      <c r="C108" s="4">
        <v>107</v>
      </c>
      <c r="D108" s="5">
        <v>1</v>
      </c>
      <c r="E108" s="4">
        <f t="shared" ca="1" si="21"/>
        <v>39</v>
      </c>
      <c r="F108" s="4" t="s">
        <v>14</v>
      </c>
      <c r="G108" s="4">
        <v>20.85</v>
      </c>
      <c r="H108" s="4">
        <v>11.31</v>
      </c>
      <c r="AH108" s="22">
        <f t="array" ref="AH108">MMULT(G94:H94-$AK$24:$AL$24,MMULT($AK$20:$AL$21,TRANSPOSE(G94:H94-$AK$24:$AL$24)))</f>
        <v>0.44157345850978835</v>
      </c>
      <c r="AI108" s="23">
        <f t="shared" si="22"/>
        <v>0.8018876812380662</v>
      </c>
      <c r="AJ108" s="24" t="str">
        <f t="shared" si="23"/>
        <v/>
      </c>
    </row>
    <row r="109" spans="1:36">
      <c r="A109" s="4">
        <v>27</v>
      </c>
      <c r="B109" s="4" t="s">
        <v>250</v>
      </c>
      <c r="C109" s="4">
        <v>108</v>
      </c>
      <c r="D109" s="5">
        <v>2</v>
      </c>
      <c r="E109" s="4">
        <f t="shared" ca="1" si="21"/>
        <v>30</v>
      </c>
      <c r="F109" s="4" t="s">
        <v>14</v>
      </c>
      <c r="G109" s="4">
        <v>18.43</v>
      </c>
      <c r="H109" s="4">
        <v>8.26</v>
      </c>
      <c r="AH109" s="22">
        <f t="array" ref="AH109">MMULT(G95:H95-$AK$24:$AL$24,MMULT($AK$20:$AL$21,TRANSPOSE(G95:H95-$AK$24:$AL$24)))</f>
        <v>3.9056268895073112</v>
      </c>
      <c r="AI109" s="23">
        <f t="shared" si="22"/>
        <v>0.14187435390170169</v>
      </c>
      <c r="AJ109" s="24" t="str">
        <f t="shared" si="23"/>
        <v/>
      </c>
    </row>
    <row r="110" spans="1:36">
      <c r="A110" s="4">
        <v>1</v>
      </c>
      <c r="B110" s="4" t="s">
        <v>251</v>
      </c>
      <c r="C110" s="4">
        <v>109</v>
      </c>
      <c r="D110" s="5">
        <v>1</v>
      </c>
      <c r="E110" s="4">
        <f t="shared" ca="1" si="21"/>
        <v>54</v>
      </c>
      <c r="F110" s="4" t="s">
        <v>15</v>
      </c>
      <c r="G110" s="4">
        <v>16.559999999999999</v>
      </c>
      <c r="H110" s="4">
        <v>16.600000000000001</v>
      </c>
      <c r="AH110" s="22">
        <f t="array" ref="AH110">MMULT(G96:H96-$AK$24:$AL$24,MMULT($AK$20:$AL$21,TRANSPOSE(G96:H96-$AK$24:$AL$24)))</f>
        <v>6.1058510768295458</v>
      </c>
      <c r="AI110" s="23">
        <f t="shared" si="22"/>
        <v>4.7220576508249332E-2</v>
      </c>
      <c r="AJ110" s="24" t="str">
        <f t="shared" si="23"/>
        <v/>
      </c>
    </row>
    <row r="111" spans="1:36">
      <c r="A111" s="4">
        <v>2</v>
      </c>
      <c r="B111" s="4" t="s">
        <v>252</v>
      </c>
      <c r="C111" s="4">
        <v>110</v>
      </c>
      <c r="D111" s="5">
        <v>1</v>
      </c>
      <c r="E111" s="4">
        <f t="shared" ca="1" si="21"/>
        <v>39</v>
      </c>
      <c r="F111" s="4" t="s">
        <v>15</v>
      </c>
      <c r="G111" s="4">
        <v>6.29</v>
      </c>
      <c r="H111" s="4">
        <v>2.95</v>
      </c>
      <c r="AH111" s="22">
        <f t="array" ref="AH111">MMULT(G97:H97-$AK$24:$AL$24,MMULT($AK$20:$AL$21,TRANSPOSE(G97:H97-$AK$24:$AL$24)))</f>
        <v>0.82740419266585696</v>
      </c>
      <c r="AI111" s="23">
        <f t="shared" si="22"/>
        <v>0.66119789520693695</v>
      </c>
      <c r="AJ111" s="24" t="str">
        <f t="shared" si="23"/>
        <v/>
      </c>
    </row>
    <row r="112" spans="1:36">
      <c r="A112" s="4">
        <v>3</v>
      </c>
      <c r="B112" s="4" t="s">
        <v>253</v>
      </c>
      <c r="C112" s="4">
        <v>111</v>
      </c>
      <c r="D112" s="5">
        <v>1</v>
      </c>
      <c r="E112" s="4">
        <f t="shared" ca="1" si="21"/>
        <v>22</v>
      </c>
      <c r="F112" s="4" t="s">
        <v>15</v>
      </c>
      <c r="G112" s="4">
        <v>4.88</v>
      </c>
      <c r="H112" s="4">
        <v>7.49</v>
      </c>
      <c r="AH112" s="22">
        <f t="array" ref="AH112">MMULT(G98:H98-$AK$24:$AL$24,MMULT($AK$20:$AL$21,TRANSPOSE(G98:H98-$AK$24:$AL$24)))</f>
        <v>3.987374311744349</v>
      </c>
      <c r="AI112" s="23">
        <f t="shared" si="22"/>
        <v>0.13619233615916429</v>
      </c>
      <c r="AJ112" s="24" t="str">
        <f t="shared" si="23"/>
        <v/>
      </c>
    </row>
    <row r="113" spans="1:36">
      <c r="A113" s="4">
        <v>4</v>
      </c>
      <c r="B113" s="4" t="s">
        <v>254</v>
      </c>
      <c r="C113" s="4">
        <v>112</v>
      </c>
      <c r="D113" s="5">
        <v>1</v>
      </c>
      <c r="E113" s="4">
        <f t="shared" ca="1" si="21"/>
        <v>60</v>
      </c>
      <c r="F113" s="4" t="s">
        <v>15</v>
      </c>
      <c r="G113" s="4">
        <v>20.2</v>
      </c>
      <c r="H113" s="4">
        <v>22.83</v>
      </c>
      <c r="AH113" s="22">
        <f t="array" ref="AH113">MMULT(G99:H99-$AK$24:$AL$24,MMULT($AK$20:$AL$21,TRANSPOSE(G99:H99-$AK$24:$AL$24)))</f>
        <v>1.719054122315693</v>
      </c>
      <c r="AI113" s="23">
        <f t="shared" si="22"/>
        <v>0.4233622594350393</v>
      </c>
      <c r="AJ113" s="24" t="str">
        <f t="shared" si="23"/>
        <v/>
      </c>
    </row>
    <row r="114" spans="1:36">
      <c r="A114" s="4">
        <v>5</v>
      </c>
      <c r="B114" s="4" t="s">
        <v>255</v>
      </c>
      <c r="C114" s="4">
        <v>113</v>
      </c>
      <c r="D114" s="5">
        <v>2</v>
      </c>
      <c r="E114" s="4">
        <f t="shared" ca="1" si="21"/>
        <v>69</v>
      </c>
      <c r="F114" s="4" t="s">
        <v>15</v>
      </c>
      <c r="G114" s="4">
        <v>23.46</v>
      </c>
      <c r="H114" s="4">
        <v>26.15</v>
      </c>
      <c r="AH114" s="22">
        <f t="array" ref="AH114">MMULT(G100:H100-$AK$24:$AL$24,MMULT($AK$20:$AL$21,TRANSPOSE(G100:H100-$AK$24:$AL$24)))</f>
        <v>4.0200653716025423</v>
      </c>
      <c r="AI114" s="23">
        <f t="shared" si="22"/>
        <v>0.13398429521318556</v>
      </c>
      <c r="AJ114" s="24" t="str">
        <f t="shared" si="23"/>
        <v/>
      </c>
    </row>
    <row r="115" spans="1:36">
      <c r="A115" s="4">
        <v>6</v>
      </c>
      <c r="B115" s="4" t="s">
        <v>256</v>
      </c>
      <c r="C115" s="4">
        <v>114</v>
      </c>
      <c r="D115" s="5">
        <v>1</v>
      </c>
      <c r="E115" s="4">
        <f t="shared" ca="1" si="21"/>
        <v>41</v>
      </c>
      <c r="F115" s="4" t="s">
        <v>15</v>
      </c>
      <c r="G115" s="4">
        <v>6.29</v>
      </c>
      <c r="H115" s="4">
        <v>2.95</v>
      </c>
      <c r="AH115" s="22">
        <f t="array" ref="AH115">MMULT(G101:H101-$AK$24:$AL$24,MMULT($AK$20:$AL$21,TRANSPOSE(G101:H101-$AK$24:$AL$24)))</f>
        <v>0.70411793768596509</v>
      </c>
      <c r="AI115" s="23">
        <f t="shared" si="22"/>
        <v>0.7032386515839979</v>
      </c>
      <c r="AJ115" s="24" t="str">
        <f t="shared" si="23"/>
        <v/>
      </c>
    </row>
    <row r="116" spans="1:36">
      <c r="A116" s="4">
        <v>7</v>
      </c>
      <c r="B116" s="4" t="s">
        <v>257</v>
      </c>
      <c r="C116" s="4">
        <v>115</v>
      </c>
      <c r="D116" s="5">
        <v>1</v>
      </c>
      <c r="E116" s="4">
        <f t="shared" ca="1" si="21"/>
        <v>31</v>
      </c>
      <c r="F116" s="4" t="s">
        <v>15</v>
      </c>
      <c r="G116" s="4">
        <v>5.25</v>
      </c>
      <c r="H116" s="4">
        <v>6.54</v>
      </c>
      <c r="AH116" s="22">
        <f t="array" ref="AH116">MMULT(G102:H102-$AK$24:$AL$24,MMULT($AK$20:$AL$21,TRANSPOSE(G102:H102-$AK$24:$AL$24)))</f>
        <v>4.0748148230154211</v>
      </c>
      <c r="AI116" s="23">
        <f t="shared" si="22"/>
        <v>0.13036625919078201</v>
      </c>
      <c r="AJ116" s="24" t="str">
        <f t="shared" si="23"/>
        <v/>
      </c>
    </row>
    <row r="117" spans="1:36">
      <c r="A117" s="4">
        <v>8</v>
      </c>
      <c r="B117" s="4" t="s">
        <v>258</v>
      </c>
      <c r="C117" s="4">
        <v>116</v>
      </c>
      <c r="D117" s="5">
        <v>1</v>
      </c>
      <c r="E117" s="4">
        <f t="shared" ca="1" si="21"/>
        <v>25</v>
      </c>
      <c r="F117" s="4" t="s">
        <v>15</v>
      </c>
      <c r="G117" s="4">
        <v>9.7100000000000009</v>
      </c>
      <c r="H117" s="4">
        <v>17.62</v>
      </c>
      <c r="AH117" s="22">
        <f t="array" ref="AH117">MMULT(G103:H103-$AK$24:$AL$24,MMULT($AK$20:$AL$21,TRANSPOSE(G103:H103-$AK$24:$AL$24)))</f>
        <v>1.937352087037536</v>
      </c>
      <c r="AI117" s="23">
        <f t="shared" si="22"/>
        <v>0.3795852599351851</v>
      </c>
      <c r="AJ117" s="24" t="str">
        <f t="shared" si="23"/>
        <v/>
      </c>
    </row>
    <row r="118" spans="1:36">
      <c r="A118" s="4">
        <v>9</v>
      </c>
      <c r="B118" s="4" t="s">
        <v>259</v>
      </c>
      <c r="C118" s="4">
        <v>117</v>
      </c>
      <c r="D118" s="5">
        <v>2</v>
      </c>
      <c r="E118" s="4">
        <f t="shared" ca="1" si="21"/>
        <v>28</v>
      </c>
      <c r="F118" s="4" t="s">
        <v>15</v>
      </c>
      <c r="G118" s="4">
        <v>24.8</v>
      </c>
      <c r="H118" s="4">
        <v>16.920000000000002</v>
      </c>
      <c r="AH118" s="22">
        <f t="array" ref="AH118">MMULT(G104:H104-$AK$24:$AL$24,MMULT($AK$20:$AL$21,TRANSPOSE(G104:H104-$AK$24:$AL$24)))</f>
        <v>2.3001890076567304</v>
      </c>
      <c r="AI118" s="23">
        <f t="shared" si="22"/>
        <v>0.31660684740603851</v>
      </c>
      <c r="AJ118" s="24" t="str">
        <f t="shared" si="23"/>
        <v/>
      </c>
    </row>
    <row r="119" spans="1:36">
      <c r="A119" s="4">
        <v>10</v>
      </c>
      <c r="B119" s="4" t="s">
        <v>260</v>
      </c>
      <c r="C119" s="4">
        <v>118</v>
      </c>
      <c r="D119" s="5">
        <v>1</v>
      </c>
      <c r="E119" s="4">
        <f t="shared" ca="1" si="21"/>
        <v>32</v>
      </c>
      <c r="F119" s="4" t="s">
        <v>15</v>
      </c>
      <c r="G119" s="4">
        <v>19.87</v>
      </c>
      <c r="H119" s="4">
        <v>15.04</v>
      </c>
      <c r="AH119" s="22">
        <f t="array" ref="AH119">MMULT(G105:H105-$AK$24:$AL$24,MMULT($AK$20:$AL$21,TRANSPOSE(G105:H105-$AK$24:$AL$24)))</f>
        <v>4.4886546583679333E-2</v>
      </c>
      <c r="AI119" s="23">
        <f t="shared" si="22"/>
        <v>0.97780670337561415</v>
      </c>
      <c r="AJ119" s="24" t="str">
        <f t="shared" si="23"/>
        <v/>
      </c>
    </row>
    <row r="120" spans="1:36">
      <c r="A120" s="4">
        <v>11</v>
      </c>
      <c r="B120" s="4" t="s">
        <v>261</v>
      </c>
      <c r="C120" s="4">
        <v>119</v>
      </c>
      <c r="D120" s="5">
        <v>1</v>
      </c>
      <c r="E120" s="4">
        <f t="shared" ca="1" si="21"/>
        <v>45</v>
      </c>
      <c r="F120" s="4" t="s">
        <v>15</v>
      </c>
      <c r="G120" s="4">
        <v>18.86</v>
      </c>
      <c r="H120" s="4">
        <v>17.68</v>
      </c>
      <c r="AH120" s="22">
        <f t="array" ref="AH120">MMULT(G106:H106-$AK$24:$AL$24,MMULT($AK$20:$AL$21,TRANSPOSE(G106:H106-$AK$24:$AL$24)))</f>
        <v>1.0514009696362385</v>
      </c>
      <c r="AI120" s="23">
        <f t="shared" si="22"/>
        <v>0.59114113391300904</v>
      </c>
      <c r="AJ120" s="24" t="str">
        <f t="shared" si="23"/>
        <v/>
      </c>
    </row>
    <row r="121" spans="1:36">
      <c r="A121" s="4">
        <v>12</v>
      </c>
      <c r="B121" s="4" t="s">
        <v>262</v>
      </c>
      <c r="C121" s="4">
        <v>120</v>
      </c>
      <c r="D121" s="5">
        <v>2</v>
      </c>
      <c r="E121" s="4">
        <f t="shared" ca="1" si="21"/>
        <v>37</v>
      </c>
      <c r="F121" s="4" t="s">
        <v>15</v>
      </c>
      <c r="G121" s="4">
        <v>23.98</v>
      </c>
      <c r="H121" s="4">
        <v>22.61</v>
      </c>
      <c r="AH121" s="22">
        <f t="array" ref="AH121">MMULT(G107:H107-$AK$24:$AL$24,MMULT($AK$20:$AL$21,TRANSPOSE(G107:H107-$AK$24:$AL$24)))</f>
        <v>0.37357754380762009</v>
      </c>
      <c r="AI121" s="23">
        <f t="shared" si="22"/>
        <v>0.82961895671181374</v>
      </c>
      <c r="AJ121" s="24" t="str">
        <f t="shared" si="23"/>
        <v/>
      </c>
    </row>
    <row r="122" spans="1:36">
      <c r="A122" s="4">
        <v>13</v>
      </c>
      <c r="B122" s="4" t="s">
        <v>263</v>
      </c>
      <c r="C122" s="4">
        <v>121</v>
      </c>
      <c r="D122" s="5">
        <v>1</v>
      </c>
      <c r="E122" s="4">
        <f t="shared" ca="1" si="21"/>
        <v>60</v>
      </c>
      <c r="F122" s="4" t="s">
        <v>15</v>
      </c>
      <c r="G122" s="4">
        <v>24.65</v>
      </c>
      <c r="H122" s="4">
        <v>25.49</v>
      </c>
      <c r="AH122" s="22">
        <f t="array" ref="AH122">MMULT(G108:H108-$AK$24:$AL$24,MMULT($AK$20:$AL$21,TRANSPOSE(G108:H108-$AK$24:$AL$24)))</f>
        <v>3.1789528234692734</v>
      </c>
      <c r="AI122" s="23">
        <f t="shared" si="22"/>
        <v>0.20403241274896361</v>
      </c>
      <c r="AJ122" s="24" t="str">
        <f t="shared" si="23"/>
        <v/>
      </c>
    </row>
    <row r="123" spans="1:36">
      <c r="A123" s="4">
        <v>14</v>
      </c>
      <c r="B123" s="4" t="s">
        <v>264</v>
      </c>
      <c r="C123" s="4">
        <v>122</v>
      </c>
      <c r="D123" s="5">
        <v>1</v>
      </c>
      <c r="E123" s="4">
        <f t="shared" ca="1" si="21"/>
        <v>54</v>
      </c>
      <c r="F123" s="4" t="s">
        <v>15</v>
      </c>
      <c r="G123" s="4">
        <v>18.95</v>
      </c>
      <c r="H123" s="4">
        <v>13.39</v>
      </c>
      <c r="AH123" s="22">
        <f t="array" ref="AH123">MMULT(G109:H109-$AK$24:$AL$24,MMULT($AK$20:$AL$21,TRANSPOSE(G109:H109-$AK$24:$AL$24)))</f>
        <v>4.1498944698160178</v>
      </c>
      <c r="AI123" s="23">
        <f t="shared" si="22"/>
        <v>0.12556305266443132</v>
      </c>
      <c r="AJ123" s="24" t="str">
        <f t="shared" si="23"/>
        <v/>
      </c>
    </row>
    <row r="124" spans="1:36">
      <c r="A124" s="4">
        <v>15</v>
      </c>
      <c r="B124" s="4" t="s">
        <v>265</v>
      </c>
      <c r="C124" s="4">
        <v>123</v>
      </c>
      <c r="D124" s="5">
        <v>1</v>
      </c>
      <c r="E124" s="4">
        <f t="shared" ca="1" si="21"/>
        <v>47</v>
      </c>
      <c r="F124" s="4" t="s">
        <v>15</v>
      </c>
      <c r="G124" s="4">
        <v>27.18</v>
      </c>
      <c r="H124" s="4">
        <v>33.1</v>
      </c>
      <c r="AH124" s="22">
        <f t="array" ref="AH124">MMULT(G110:H110-$AK$24:$AL$24,MMULT($AK$20:$AL$21,TRANSPOSE(G110:H110-$AK$24:$AL$24)))</f>
        <v>0.41333977115291665</v>
      </c>
      <c r="AI124" s="23">
        <f t="shared" si="22"/>
        <v>0.81328808380515449</v>
      </c>
      <c r="AJ124" s="24" t="str">
        <f t="shared" si="23"/>
        <v/>
      </c>
    </row>
    <row r="125" spans="1:36">
      <c r="A125" s="4">
        <v>16</v>
      </c>
      <c r="B125" s="4" t="s">
        <v>266</v>
      </c>
      <c r="C125" s="4">
        <v>124</v>
      </c>
      <c r="D125" s="5">
        <v>1</v>
      </c>
      <c r="E125" s="4">
        <f t="shared" ca="1" si="21"/>
        <v>70</v>
      </c>
      <c r="F125" s="4" t="s">
        <v>15</v>
      </c>
      <c r="G125" s="4">
        <v>29.21</v>
      </c>
      <c r="H125" s="4">
        <v>21.67</v>
      </c>
      <c r="AH125" s="22">
        <f t="array" ref="AH125">MMULT(G111:H111-$AK$24:$AL$24,MMULT($AK$20:$AL$21,TRANSPOSE(G111:H111-$AK$24:$AL$24)))</f>
        <v>4.7005574400028118</v>
      </c>
      <c r="AI125" s="23">
        <f t="shared" si="22"/>
        <v>9.5342584626547697E-2</v>
      </c>
      <c r="AJ125" s="24" t="str">
        <f t="shared" si="23"/>
        <v/>
      </c>
    </row>
    <row r="126" spans="1:36">
      <c r="A126" s="4">
        <v>17</v>
      </c>
      <c r="B126" s="4" t="s">
        <v>267</v>
      </c>
      <c r="C126" s="4">
        <v>125</v>
      </c>
      <c r="D126" s="5">
        <v>2</v>
      </c>
      <c r="E126" s="4">
        <f t="shared" ca="1" si="21"/>
        <v>44</v>
      </c>
      <c r="F126" s="4" t="s">
        <v>15</v>
      </c>
      <c r="G126" s="4">
        <v>22.08</v>
      </c>
      <c r="H126" s="4">
        <v>29.94</v>
      </c>
      <c r="AH126" s="22">
        <f t="array" ref="AH126">MMULT(G112:H112-$AK$24:$AL$24,MMULT($AK$20:$AL$21,TRANSPOSE(G112:H112-$AK$24:$AL$24)))</f>
        <v>3.3011632739547938</v>
      </c>
      <c r="AI126" s="23">
        <f t="shared" si="22"/>
        <v>0.19193823777149041</v>
      </c>
      <c r="AJ126" s="24" t="str">
        <f t="shared" si="23"/>
        <v/>
      </c>
    </row>
    <row r="127" spans="1:36">
      <c r="A127" s="4">
        <v>18</v>
      </c>
      <c r="B127" s="4" t="s">
        <v>268</v>
      </c>
      <c r="C127" s="4">
        <v>126</v>
      </c>
      <c r="D127" s="5">
        <v>2</v>
      </c>
      <c r="E127" s="4">
        <f t="shared" ca="1" si="21"/>
        <v>38</v>
      </c>
      <c r="F127" s="4" t="s">
        <v>15</v>
      </c>
      <c r="G127" s="4">
        <v>34.479999999999997</v>
      </c>
      <c r="H127" s="4">
        <v>27.89</v>
      </c>
      <c r="AH127" s="22">
        <f t="array" ref="AH127">MMULT(G113:H113-$AK$24:$AL$24,MMULT($AK$20:$AL$21,TRANSPOSE(G113:H113-$AK$24:$AL$24)))</f>
        <v>7.6802416868271897E-2</v>
      </c>
      <c r="AI127" s="23">
        <f t="shared" si="22"/>
        <v>0.96232676981238918</v>
      </c>
      <c r="AJ127" s="24" t="str">
        <f t="shared" si="23"/>
        <v/>
      </c>
    </row>
    <row r="128" spans="1:36">
      <c r="A128" s="4">
        <v>19</v>
      </c>
      <c r="B128" s="4" t="s">
        <v>269</v>
      </c>
      <c r="C128" s="4">
        <v>127</v>
      </c>
      <c r="D128" s="5">
        <v>2</v>
      </c>
      <c r="E128" s="4">
        <f t="shared" ca="1" si="21"/>
        <v>30</v>
      </c>
      <c r="F128" s="4" t="s">
        <v>15</v>
      </c>
      <c r="G128" s="4">
        <v>32.549999999999997</v>
      </c>
      <c r="H128" s="4">
        <v>31.99</v>
      </c>
      <c r="AH128" s="22">
        <f t="array" ref="AH128">MMULT(G114:H114-$AK$24:$AL$24,MMULT($AK$20:$AL$21,TRANSPOSE(G114:H114-$AK$24:$AL$24)))</f>
        <v>0.21487410348826108</v>
      </c>
      <c r="AI128" s="23">
        <f t="shared" si="22"/>
        <v>0.89813305658087195</v>
      </c>
      <c r="AJ128" s="24" t="str">
        <f t="shared" si="23"/>
        <v/>
      </c>
    </row>
    <row r="129" spans="1:36">
      <c r="A129" s="4">
        <v>20</v>
      </c>
      <c r="B129" s="4" t="s">
        <v>270</v>
      </c>
      <c r="C129" s="4">
        <v>128</v>
      </c>
      <c r="D129" s="5">
        <v>1</v>
      </c>
      <c r="E129" s="4">
        <f t="shared" ca="1" si="21"/>
        <v>35</v>
      </c>
      <c r="F129" s="4" t="s">
        <v>15</v>
      </c>
      <c r="G129" s="4">
        <v>31.86</v>
      </c>
      <c r="H129" s="4">
        <v>32.96</v>
      </c>
      <c r="AH129" s="22">
        <f t="array" ref="AH129">MMULT(G115:H115-$AK$24:$AL$24,MMULT($AK$20:$AL$21,TRANSPOSE(G115:H115-$AK$24:$AL$24)))</f>
        <v>4.7005574400028118</v>
      </c>
      <c r="AI129" s="23">
        <f t="shared" si="22"/>
        <v>9.5342584626547697E-2</v>
      </c>
      <c r="AJ129" s="24" t="str">
        <f t="shared" si="23"/>
        <v/>
      </c>
    </row>
    <row r="130" spans="1:36">
      <c r="A130" s="4">
        <v>21</v>
      </c>
      <c r="B130" s="4" t="s">
        <v>271</v>
      </c>
      <c r="C130" s="4">
        <v>129</v>
      </c>
      <c r="D130" s="5">
        <v>2</v>
      </c>
      <c r="E130" s="4">
        <f t="shared" ca="1" si="21"/>
        <v>25</v>
      </c>
      <c r="F130" s="4" t="s">
        <v>15</v>
      </c>
      <c r="G130" s="4">
        <v>19.920000000000002</v>
      </c>
      <c r="H130" s="4">
        <v>8.9</v>
      </c>
      <c r="AH130" s="22">
        <f t="array" ref="AH130">MMULT(G116:H116-$AK$24:$AL$24,MMULT($AK$20:$AL$21,TRANSPOSE(G116:H116-$AK$24:$AL$24)))</f>
        <v>3.4330360160562403</v>
      </c>
      <c r="AI130" s="23">
        <f t="shared" si="22"/>
        <v>0.17969074158497322</v>
      </c>
      <c r="AJ130" s="24" t="str">
        <f t="shared" si="23"/>
        <v/>
      </c>
    </row>
    <row r="131" spans="1:36">
      <c r="A131" s="4">
        <v>22</v>
      </c>
      <c r="B131" s="4" t="s">
        <v>272</v>
      </c>
      <c r="C131" s="4">
        <v>130</v>
      </c>
      <c r="D131" s="5">
        <v>1</v>
      </c>
      <c r="E131" s="4">
        <f t="shared" ref="E131:E136" ca="1" si="24">RANDBETWEEN(18,70)</f>
        <v>61</v>
      </c>
      <c r="F131" s="4" t="s">
        <v>15</v>
      </c>
      <c r="G131" s="4">
        <v>13.29</v>
      </c>
      <c r="H131" s="4">
        <v>12.52</v>
      </c>
      <c r="AH131" s="22">
        <f t="array" ref="AH131">MMULT(G117:H117-$AK$24:$AL$24,MMULT($AK$20:$AL$21,TRANSPOSE(G117:H117-$AK$24:$AL$24)))</f>
        <v>1.8695382327326568</v>
      </c>
      <c r="AI131" s="23">
        <f t="shared" si="22"/>
        <v>0.39267651764732264</v>
      </c>
      <c r="AJ131" s="24" t="str">
        <f t="shared" si="23"/>
        <v/>
      </c>
    </row>
    <row r="132" spans="1:36">
      <c r="A132" s="4">
        <v>23</v>
      </c>
      <c r="B132" s="4" t="s">
        <v>273</v>
      </c>
      <c r="C132" s="4">
        <v>131</v>
      </c>
      <c r="D132" s="5">
        <v>2</v>
      </c>
      <c r="E132" s="4">
        <f t="shared" ca="1" si="24"/>
        <v>25</v>
      </c>
      <c r="F132" s="4" t="s">
        <v>15</v>
      </c>
      <c r="G132" s="4">
        <v>24.17</v>
      </c>
      <c r="H132" s="4">
        <v>32.85</v>
      </c>
      <c r="AH132" s="22">
        <f t="array" ref="AH132">MMULT(G118:H118-$AK$24:$AL$24,MMULT($AK$20:$AL$21,TRANSPOSE(G118:H118-$AK$24:$AL$24)))</f>
        <v>1.8056487624641768</v>
      </c>
      <c r="AI132" s="23">
        <f t="shared" si="22"/>
        <v>0.40542297212785028</v>
      </c>
      <c r="AJ132" s="24" t="str">
        <f t="shared" si="23"/>
        <v/>
      </c>
    </row>
    <row r="133" spans="1:36">
      <c r="A133" s="4">
        <v>24</v>
      </c>
      <c r="B133" s="4" t="s">
        <v>274</v>
      </c>
      <c r="C133" s="4">
        <v>132</v>
      </c>
      <c r="D133" s="5">
        <v>2</v>
      </c>
      <c r="E133" s="4">
        <f t="shared" ca="1" si="24"/>
        <v>41</v>
      </c>
      <c r="F133" s="4" t="s">
        <v>15</v>
      </c>
      <c r="G133" s="4">
        <v>25.59</v>
      </c>
      <c r="H133" s="4">
        <v>28.43</v>
      </c>
      <c r="AH133" s="22">
        <f t="array" ref="AH133">MMULT(G119:H119-$AK$24:$AL$24,MMULT($AK$20:$AL$21,TRANSPOSE(G119:H119-$AK$24:$AL$24)))</f>
        <v>1.1031496218173442</v>
      </c>
      <c r="AI133" s="23">
        <f t="shared" si="22"/>
        <v>0.5760419385761828</v>
      </c>
      <c r="AJ133" s="24" t="str">
        <f t="shared" si="23"/>
        <v/>
      </c>
    </row>
    <row r="134" spans="1:36">
      <c r="A134" s="4">
        <v>25</v>
      </c>
      <c r="B134" s="4" t="s">
        <v>275</v>
      </c>
      <c r="C134" s="4">
        <v>133</v>
      </c>
      <c r="D134" s="5">
        <v>2</v>
      </c>
      <c r="E134" s="4">
        <f t="shared" ca="1" si="24"/>
        <v>50</v>
      </c>
      <c r="F134" s="4" t="s">
        <v>15</v>
      </c>
      <c r="G134" s="4">
        <v>23.83</v>
      </c>
      <c r="H134" s="4">
        <v>30.12</v>
      </c>
      <c r="AH134" s="22">
        <f t="array" ref="AH134">MMULT(G120:H120-$AK$24:$AL$24,MMULT($AK$20:$AL$21,TRANSPOSE(G120:H120-$AK$24:$AL$24)))</f>
        <v>0.29886014347148715</v>
      </c>
      <c r="AI134" s="23">
        <f t="shared" si="22"/>
        <v>0.86119865804147255</v>
      </c>
      <c r="AJ134" s="24" t="str">
        <f t="shared" si="23"/>
        <v/>
      </c>
    </row>
    <row r="135" spans="1:36">
      <c r="A135" s="4">
        <v>26</v>
      </c>
      <c r="B135" s="4" t="s">
        <v>276</v>
      </c>
      <c r="C135" s="4">
        <v>134</v>
      </c>
      <c r="D135" s="5">
        <v>1</v>
      </c>
      <c r="E135" s="4">
        <f t="shared" ca="1" si="24"/>
        <v>42</v>
      </c>
      <c r="F135" s="4" t="s">
        <v>15</v>
      </c>
      <c r="G135" s="4">
        <v>34.58</v>
      </c>
      <c r="H135" s="4">
        <v>26.43</v>
      </c>
      <c r="AH135" s="22">
        <f t="array" ref="AH135">MMULT(G121:H121-$AK$24:$AL$24,MMULT($AK$20:$AL$21,TRANSPOSE(G121:H121-$AK$24:$AL$24)))</f>
        <v>0.12420965713482492</v>
      </c>
      <c r="AI135" s="23">
        <f t="shared" si="22"/>
        <v>0.93978436537855059</v>
      </c>
      <c r="AJ135" s="24" t="str">
        <f t="shared" si="23"/>
        <v/>
      </c>
    </row>
    <row r="136" spans="1:36">
      <c r="A136" s="4">
        <v>27</v>
      </c>
      <c r="B136" s="4" t="s">
        <v>277</v>
      </c>
      <c r="C136" s="4">
        <v>135</v>
      </c>
      <c r="D136" s="5">
        <v>1</v>
      </c>
      <c r="E136" s="4">
        <f t="shared" ca="1" si="24"/>
        <v>55</v>
      </c>
      <c r="F136" s="4" t="s">
        <v>15</v>
      </c>
      <c r="G136" s="4">
        <v>17.920000000000002</v>
      </c>
      <c r="H136" s="4">
        <v>26.48</v>
      </c>
      <c r="AH136" s="22">
        <f t="array" ref="AH136">MMULT(G122:H122-$AK$24:$AL$24,MMULT($AK$20:$AL$21,TRANSPOSE(G122:H122-$AK$24:$AL$24)))</f>
        <v>0.13368213441574858</v>
      </c>
      <c r="AI136" s="23">
        <f t="shared" si="22"/>
        <v>0.93534384633327683</v>
      </c>
      <c r="AJ136" s="24" t="str">
        <f t="shared" si="23"/>
        <v/>
      </c>
    </row>
    <row r="137" spans="1:36">
      <c r="AH137" s="22">
        <f t="array" ref="AH137">MMULT(G123:H123-$AK$24:$AL$24,MMULT($AK$20:$AL$21,TRANSPOSE(G123:H123-$AK$24:$AL$24)))</f>
        <v>1.5270865229506023</v>
      </c>
      <c r="AI137" s="23">
        <f t="shared" si="22"/>
        <v>0.46601229481782325</v>
      </c>
      <c r="AJ137" s="24" t="str">
        <f t="shared" si="23"/>
        <v/>
      </c>
    </row>
    <row r="138" spans="1:36" s="33" customFormat="1">
      <c r="D138" s="34"/>
      <c r="AH138" s="35">
        <f t="array" ref="AH138">MMULT(G124:H124-$AK$24:$AL$24,MMULT($AK$20:$AL$21,TRANSPOSE(G124:H124-$AK$24:$AL$24)))</f>
        <v>1.6760924467741773</v>
      </c>
      <c r="AI138" s="36">
        <f t="shared" si="22"/>
        <v>0.4325548138621827</v>
      </c>
      <c r="AJ138" s="37" t="str">
        <f t="shared" si="23"/>
        <v/>
      </c>
    </row>
    <row r="139" spans="1:36">
      <c r="A139" s="4" t="s">
        <v>51</v>
      </c>
      <c r="B139" s="4" t="s">
        <v>52</v>
      </c>
      <c r="C139" s="4" t="s">
        <v>53</v>
      </c>
      <c r="D139" s="5" t="s">
        <v>54</v>
      </c>
      <c r="E139" s="4" t="s">
        <v>55</v>
      </c>
      <c r="F139" s="4" t="s">
        <v>56</v>
      </c>
      <c r="G139" s="4" t="s">
        <v>22</v>
      </c>
      <c r="H139" s="4" t="s">
        <v>37</v>
      </c>
      <c r="AH139" s="22">
        <f t="array" ref="AH139">MMULT(G125:H125-$AK$24:$AL$24,MMULT($AK$20:$AL$21,TRANSPOSE(G125:H125-$AK$24:$AL$24)))</f>
        <v>1.6759724172261288</v>
      </c>
      <c r="AI139" s="23">
        <f t="shared" si="22"/>
        <v>0.4325807743205875</v>
      </c>
      <c r="AJ139" s="24" t="str">
        <f t="shared" si="23"/>
        <v/>
      </c>
    </row>
    <row r="140" spans="1:36">
      <c r="A140" s="4">
        <v>1</v>
      </c>
      <c r="B140" s="4" t="s">
        <v>60</v>
      </c>
      <c r="C140" s="4">
        <v>1</v>
      </c>
      <c r="D140" s="6">
        <v>1</v>
      </c>
      <c r="E140" s="4">
        <f ca="1">RANDBETWEEN(18,70)</f>
        <v>66</v>
      </c>
      <c r="F140" s="4" t="s">
        <v>11</v>
      </c>
      <c r="G140" s="7">
        <v>17.600000000000001</v>
      </c>
      <c r="H140" s="7">
        <v>17.8</v>
      </c>
      <c r="J140" s="4" t="s">
        <v>63</v>
      </c>
      <c r="AH140" s="22">
        <f t="array" ref="AH140">MMULT(G126:H126-$AK$24:$AL$24,MMULT($AK$20:$AL$21,TRANSPOSE(G126:H126-$AK$24:$AL$24)))</f>
        <v>1.4915395911526106</v>
      </c>
      <c r="AI140" s="23">
        <f t="shared" si="22"/>
        <v>0.474368992200079</v>
      </c>
      <c r="AJ140" s="24" t="str">
        <f t="shared" si="23"/>
        <v/>
      </c>
    </row>
    <row r="141" spans="1:36">
      <c r="A141" s="4">
        <v>2</v>
      </c>
      <c r="B141" s="4" t="s">
        <v>64</v>
      </c>
      <c r="C141" s="4">
        <v>2</v>
      </c>
      <c r="D141" s="6">
        <v>2</v>
      </c>
      <c r="E141" s="4">
        <f t="shared" ref="E141:E204" ca="1" si="25">RANDBETWEEN(18,70)</f>
        <v>22</v>
      </c>
      <c r="F141" s="4" t="s">
        <v>11</v>
      </c>
      <c r="G141" s="7">
        <v>19</v>
      </c>
      <c r="H141" s="7">
        <v>18</v>
      </c>
      <c r="AH141" s="22">
        <f t="array" ref="AH141">MMULT(G127:H127-$AK$24:$AL$24,MMULT($AK$20:$AL$21,TRANSPOSE(G127:H127-$AK$24:$AL$24)))</f>
        <v>2.1676027310770372</v>
      </c>
      <c r="AI141" s="23">
        <f t="shared" si="22"/>
        <v>0.33830704945279488</v>
      </c>
      <c r="AJ141" s="24" t="str">
        <f t="shared" si="23"/>
        <v/>
      </c>
    </row>
    <row r="142" spans="1:36">
      <c r="A142" s="4">
        <v>3</v>
      </c>
      <c r="B142" s="4" t="s">
        <v>68</v>
      </c>
      <c r="C142" s="4">
        <v>3</v>
      </c>
      <c r="D142" s="6">
        <v>2</v>
      </c>
      <c r="E142" s="4">
        <f t="shared" ca="1" si="25"/>
        <v>49</v>
      </c>
      <c r="F142" s="4" t="s">
        <v>11</v>
      </c>
      <c r="G142" s="8">
        <v>19.3</v>
      </c>
      <c r="H142" s="8">
        <v>19</v>
      </c>
      <c r="J142" s="4" t="str">
        <f t="array" ref="J142:N169">[1]!StdAnova1(F140:G274)</f>
        <v>I</v>
      </c>
      <c r="K142" s="4" t="str">
        <v>II ALTO</v>
      </c>
      <c r="L142" s="4" t="str">
        <v>II BAJO</v>
      </c>
      <c r="M142" s="4" t="str">
        <v>III ALTO</v>
      </c>
      <c r="N142" s="4" t="str">
        <v>III BAJO</v>
      </c>
      <c r="P142" s="4" t="s">
        <v>278</v>
      </c>
      <c r="S142" s="4" t="s">
        <v>279</v>
      </c>
      <c r="Y142" s="4" t="s">
        <v>280</v>
      </c>
      <c r="AH142" s="22">
        <f t="array" ref="AH142">MMULT(G128:H128-$AK$24:$AL$24,MMULT($AK$20:$AL$21,TRANSPOSE(G128:H128-$AK$24:$AL$24)))</f>
        <v>1.4304859899464453</v>
      </c>
      <c r="AI142" s="23">
        <f t="shared" si="22"/>
        <v>0.48907325501361004</v>
      </c>
      <c r="AJ142" s="24" t="str">
        <f t="shared" si="23"/>
        <v/>
      </c>
    </row>
    <row r="143" spans="1:36">
      <c r="A143" s="4">
        <v>4</v>
      </c>
      <c r="B143" s="4" t="s">
        <v>73</v>
      </c>
      <c r="C143" s="4">
        <v>4</v>
      </c>
      <c r="D143" s="6">
        <v>2</v>
      </c>
      <c r="E143" s="4">
        <f t="shared" ca="1" si="25"/>
        <v>64</v>
      </c>
      <c r="F143" s="4" t="s">
        <v>11</v>
      </c>
      <c r="G143" s="8">
        <v>13.9</v>
      </c>
      <c r="H143" s="8">
        <v>14</v>
      </c>
      <c r="J143" s="16">
        <v>17.600000000000001</v>
      </c>
      <c r="K143" s="38">
        <v>24.3</v>
      </c>
      <c r="L143" s="38">
        <v>27.17</v>
      </c>
      <c r="M143" s="38">
        <v>16.07</v>
      </c>
      <c r="N143" s="17">
        <v>16.559999999999999</v>
      </c>
      <c r="AH143" s="22">
        <f t="array" ref="AH143">MMULT(G129:H129-$AK$24:$AL$24,MMULT($AK$20:$AL$21,TRANSPOSE(G129:H129-$AK$24:$AL$24)))</f>
        <v>1.4935240021159917</v>
      </c>
      <c r="AI143" s="23">
        <f t="shared" si="22"/>
        <v>0.4738985541098944</v>
      </c>
      <c r="AJ143" s="24" t="str">
        <f t="shared" si="23"/>
        <v/>
      </c>
    </row>
    <row r="144" spans="1:36">
      <c r="A144" s="4">
        <v>5</v>
      </c>
      <c r="B144" s="4" t="s">
        <v>81</v>
      </c>
      <c r="C144" s="4">
        <v>5</v>
      </c>
      <c r="D144" s="6">
        <v>2</v>
      </c>
      <c r="E144" s="4">
        <f t="shared" ca="1" si="25"/>
        <v>69</v>
      </c>
      <c r="F144" s="4" t="s">
        <v>11</v>
      </c>
      <c r="G144" s="8">
        <v>21.5</v>
      </c>
      <c r="H144" s="8">
        <v>20.9</v>
      </c>
      <c r="J144" s="22">
        <v>19</v>
      </c>
      <c r="K144" s="4">
        <v>39.03</v>
      </c>
      <c r="L144" s="4">
        <v>27.29</v>
      </c>
      <c r="M144" s="4">
        <v>39.340000000000003</v>
      </c>
      <c r="N144" s="23">
        <v>6.29</v>
      </c>
      <c r="P144" s="4" t="s">
        <v>281</v>
      </c>
      <c r="Q144" s="32" t="s">
        <v>23</v>
      </c>
      <c r="S144" s="40"/>
      <c r="T144" s="40" t="str">
        <f>K142</f>
        <v>II ALTO</v>
      </c>
      <c r="U144" s="40" t="str">
        <f t="shared" ref="U144:W144" si="26">L142</f>
        <v>II BAJO</v>
      </c>
      <c r="V144" s="40" t="str">
        <f t="shared" si="26"/>
        <v>III ALTO</v>
      </c>
      <c r="W144" s="40" t="str">
        <f t="shared" si="26"/>
        <v>III BAJO</v>
      </c>
      <c r="Y144" s="40"/>
      <c r="Z144" s="40" t="str">
        <f>K142</f>
        <v>II ALTO</v>
      </c>
      <c r="AA144" s="40" t="str">
        <f t="shared" ref="AA144:AC144" si="27">L142</f>
        <v>II BAJO</v>
      </c>
      <c r="AB144" s="40" t="str">
        <f t="shared" si="27"/>
        <v>III ALTO</v>
      </c>
      <c r="AC144" s="40" t="str">
        <f t="shared" si="27"/>
        <v>III BAJO</v>
      </c>
      <c r="AH144" s="22">
        <f t="array" ref="AH144">MMULT(G130:H130-$AK$24:$AL$24,MMULT($AK$20:$AL$21,TRANSPOSE(G130:H130-$AK$24:$AL$24)))</f>
        <v>4.3501467550095594</v>
      </c>
      <c r="AI144" s="23">
        <f t="shared" si="22"/>
        <v>0.11359981769376509</v>
      </c>
      <c r="AJ144" s="24" t="str">
        <f t="shared" si="23"/>
        <v/>
      </c>
    </row>
    <row r="145" spans="1:36">
      <c r="A145" s="4">
        <v>6</v>
      </c>
      <c r="B145" s="4" t="s">
        <v>84</v>
      </c>
      <c r="C145" s="4">
        <v>6</v>
      </c>
      <c r="D145" s="6">
        <v>1</v>
      </c>
      <c r="E145" s="4">
        <f t="shared" ca="1" si="25"/>
        <v>32</v>
      </c>
      <c r="F145" s="4" t="s">
        <v>11</v>
      </c>
      <c r="G145" s="8">
        <v>14.5</v>
      </c>
      <c r="H145" s="8">
        <v>14.1</v>
      </c>
      <c r="J145" s="22">
        <v>19.3</v>
      </c>
      <c r="K145" s="4">
        <v>33.4</v>
      </c>
      <c r="L145" s="4">
        <v>22.16</v>
      </c>
      <c r="M145" s="4">
        <v>16.600000000000001</v>
      </c>
      <c r="N145" s="23">
        <v>4.88</v>
      </c>
      <c r="P145" s="4" t="s">
        <v>282</v>
      </c>
      <c r="Q145" s="25">
        <f>[1]!LEVENE(J143:N169)</f>
        <v>6.535230753315413E-3</v>
      </c>
      <c r="S145" s="4" t="s">
        <v>4</v>
      </c>
      <c r="T145" s="4">
        <f>AVERAGE(K143:K169)</f>
        <v>30.349259259259252</v>
      </c>
      <c r="U145" s="4">
        <f t="shared" ref="U145:W145" si="28">AVERAGE(L143:L169)</f>
        <v>21.675925925925931</v>
      </c>
      <c r="V145" s="4">
        <f t="shared" si="28"/>
        <v>17.341111111111111</v>
      </c>
      <c r="W145" s="4">
        <f t="shared" si="28"/>
        <v>20.755925925925926</v>
      </c>
      <c r="Y145" s="4" t="s">
        <v>283</v>
      </c>
      <c r="Z145" s="4">
        <f>[1]!SHAPIRO(K143:K169)</f>
        <v>0.97676392211930763</v>
      </c>
      <c r="AA145" s="4">
        <f>[1]!SHAPIRO(L143:L169)</f>
        <v>0.87246143762344741</v>
      </c>
      <c r="AB145" s="4">
        <f>[1]!SHAPIRO(M143:M169)</f>
        <v>0.96639833487278992</v>
      </c>
      <c r="AC145" s="4">
        <f>[1]!SHAPIRO(N143:N169)</f>
        <v>0.94178070879985343</v>
      </c>
      <c r="AH145" s="22">
        <f t="array" ref="AH145">MMULT(G131:H131-$AK$24:$AL$24,MMULT($AK$20:$AL$21,TRANSPOSE(G131:H131-$AK$24:$AL$24)))</f>
        <v>1.2060195750317424</v>
      </c>
      <c r="AI145" s="23">
        <f t="shared" ref="AI145:AI150" si="29">_xlfn.CHISQ.DIST.RT(AH145,COUNT($G$2:$H$2))</f>
        <v>0.5471623129842752</v>
      </c>
      <c r="AJ145" s="24" t="str">
        <f t="shared" ref="AJ145:AJ150" si="30">IF(AI145&lt;0.001,"*","")</f>
        <v/>
      </c>
    </row>
    <row r="146" spans="1:36">
      <c r="A146" s="4">
        <v>7</v>
      </c>
      <c r="B146" s="4" t="s">
        <v>87</v>
      </c>
      <c r="C146" s="4">
        <v>7</v>
      </c>
      <c r="D146" s="6">
        <v>2</v>
      </c>
      <c r="E146" s="4">
        <f t="shared" ca="1" si="25"/>
        <v>70</v>
      </c>
      <c r="F146" s="4" t="s">
        <v>11</v>
      </c>
      <c r="G146" s="8">
        <v>15.4</v>
      </c>
      <c r="H146" s="8">
        <v>14.6</v>
      </c>
      <c r="J146" s="22">
        <v>13.9</v>
      </c>
      <c r="K146" s="4">
        <v>38.19</v>
      </c>
      <c r="L146" s="4">
        <v>19.149999999999999</v>
      </c>
      <c r="M146" s="4">
        <v>16.04</v>
      </c>
      <c r="N146" s="23">
        <v>20.2</v>
      </c>
      <c r="P146" s="4" t="s">
        <v>284</v>
      </c>
      <c r="Q146" s="26">
        <f>[1]!LEVENE(J143:N169,1)</f>
        <v>1.0454984112673538E-2</v>
      </c>
      <c r="S146" s="4" t="s">
        <v>5</v>
      </c>
      <c r="T146" s="4">
        <f>_xlfn.STDEV.S(K143:K169)/SQRT(COUNT(K143:K169))</f>
        <v>1.8422658015985638</v>
      </c>
      <c r="U146" s="4">
        <f t="shared" ref="U146:W146" si="31">_xlfn.STDEV.S(L143:L169)/SQRT(COUNT(L143:L169))</f>
        <v>1.6874007101112978</v>
      </c>
      <c r="V146" s="4">
        <f t="shared" si="31"/>
        <v>1.9286222687842536</v>
      </c>
      <c r="W146" s="4">
        <f t="shared" si="31"/>
        <v>1.6765104393800285</v>
      </c>
      <c r="Y146" s="4" t="s">
        <v>23</v>
      </c>
      <c r="Z146" s="4">
        <f>[1]!SWTEST(K143:K169)</f>
        <v>0.78314572025453821</v>
      </c>
      <c r="AA146" s="4">
        <f>[1]!SWTEST(L143:L169)</f>
        <v>3.315824397439382E-3</v>
      </c>
      <c r="AB146" s="4">
        <f>[1]!SWTEST(M143:M169)</f>
        <v>0.51002891777606818</v>
      </c>
      <c r="AC146" s="4">
        <f>[1]!SWTEST(N143:N169)</f>
        <v>0.13481525112206871</v>
      </c>
      <c r="AH146" s="22">
        <f t="array" ref="AH146">MMULT(G132:H132-$AK$24:$AL$24,MMULT($AK$20:$AL$21,TRANSPOSE(G132:H132-$AK$24:$AL$24)))</f>
        <v>2.2226538856650748</v>
      </c>
      <c r="AI146" s="23">
        <f t="shared" si="29"/>
        <v>0.32912194518556703</v>
      </c>
      <c r="AJ146" s="24" t="str">
        <f t="shared" si="30"/>
        <v/>
      </c>
    </row>
    <row r="147" spans="1:36">
      <c r="A147" s="4">
        <v>8</v>
      </c>
      <c r="B147" s="4" t="s">
        <v>90</v>
      </c>
      <c r="C147" s="4">
        <v>8</v>
      </c>
      <c r="D147" s="6">
        <v>1</v>
      </c>
      <c r="E147" s="4">
        <f t="shared" ca="1" si="25"/>
        <v>28</v>
      </c>
      <c r="F147" s="4" t="s">
        <v>11</v>
      </c>
      <c r="G147" s="8">
        <v>17.8</v>
      </c>
      <c r="H147" s="8">
        <v>17.600000000000001</v>
      </c>
      <c r="J147" s="22">
        <v>21.5</v>
      </c>
      <c r="K147" s="4">
        <v>27.5</v>
      </c>
      <c r="L147" s="4">
        <v>27.94</v>
      </c>
      <c r="M147" s="4">
        <v>26.16</v>
      </c>
      <c r="N147" s="23">
        <v>23.46</v>
      </c>
      <c r="P147" s="4" t="s">
        <v>285</v>
      </c>
      <c r="Q147" s="27">
        <f>[1]!LEVENE(J143:N169,-1)</f>
        <v>6.8377239586636662E-3</v>
      </c>
      <c r="S147" s="4" t="s">
        <v>6</v>
      </c>
      <c r="T147" s="4">
        <f>MEDIAN(K143:K169)</f>
        <v>30.78</v>
      </c>
      <c r="U147" s="4">
        <f t="shared" ref="U147:W147" si="32">MEDIAN(L143:L169)</f>
        <v>23.57</v>
      </c>
      <c r="V147" s="4">
        <f t="shared" si="32"/>
        <v>16.600000000000001</v>
      </c>
      <c r="W147" s="4">
        <f t="shared" si="32"/>
        <v>22.08</v>
      </c>
      <c r="Y147" s="4" t="s">
        <v>286</v>
      </c>
      <c r="Z147" s="4">
        <v>0.05</v>
      </c>
      <c r="AA147" s="4">
        <v>0.05</v>
      </c>
      <c r="AB147" s="4">
        <v>0.05</v>
      </c>
      <c r="AC147" s="4">
        <v>0.05</v>
      </c>
      <c r="AH147" s="22">
        <f t="array" ref="AH147">MMULT(G133:H133-$AK$24:$AL$24,MMULT($AK$20:$AL$21,TRANSPOSE(G133:H133-$AK$24:$AL$24)))</f>
        <v>0.48361027489805969</v>
      </c>
      <c r="AI147" s="23">
        <f t="shared" si="29"/>
        <v>0.78520917050705674</v>
      </c>
      <c r="AJ147" s="24" t="str">
        <f t="shared" si="30"/>
        <v/>
      </c>
    </row>
    <row r="148" spans="1:36">
      <c r="A148" s="4">
        <v>9</v>
      </c>
      <c r="B148" s="4" t="s">
        <v>93</v>
      </c>
      <c r="C148" s="4">
        <v>9</v>
      </c>
      <c r="D148" s="6">
        <v>1</v>
      </c>
      <c r="E148" s="4">
        <f t="shared" ca="1" si="25"/>
        <v>66</v>
      </c>
      <c r="F148" s="4" t="s">
        <v>11</v>
      </c>
      <c r="G148" s="8">
        <v>22</v>
      </c>
      <c r="H148" s="8">
        <v>22.3</v>
      </c>
      <c r="J148" s="22">
        <v>14.5</v>
      </c>
      <c r="K148" s="4">
        <v>24.88</v>
      </c>
      <c r="L148" s="4">
        <v>26.18</v>
      </c>
      <c r="M148" s="4">
        <v>7.9</v>
      </c>
      <c r="N148" s="23">
        <v>6.29</v>
      </c>
      <c r="S148" s="4" t="s">
        <v>287</v>
      </c>
      <c r="T148" s="4" t="e">
        <f>MODE(K143:K169)</f>
        <v>#N/A</v>
      </c>
      <c r="U148" s="4" t="e">
        <f t="shared" ref="U148:W148" si="33">MODE(L143:L169)</f>
        <v>#N/A</v>
      </c>
      <c r="V148" s="4" t="e">
        <f t="shared" si="33"/>
        <v>#N/A</v>
      </c>
      <c r="W148" s="4">
        <f t="shared" si="33"/>
        <v>6.29</v>
      </c>
      <c r="Y148" s="4" t="s">
        <v>288</v>
      </c>
      <c r="Z148" s="32" t="str">
        <f>IF(Z146&lt;Z147,"no","yes")</f>
        <v>yes</v>
      </c>
      <c r="AA148" s="32" t="str">
        <f t="shared" ref="AA148:AC148" si="34">IF(AA146&lt;AA147,"no","yes")</f>
        <v>no</v>
      </c>
      <c r="AB148" s="32" t="str">
        <f t="shared" si="34"/>
        <v>yes</v>
      </c>
      <c r="AC148" s="32" t="str">
        <f t="shared" si="34"/>
        <v>yes</v>
      </c>
      <c r="AH148" s="22">
        <f t="array" ref="AH148">MMULT(G134:H134-$AK$24:$AL$24,MMULT($AK$20:$AL$21,TRANSPOSE(G134:H134-$AK$24:$AL$24)))</f>
        <v>1.1479880531335775</v>
      </c>
      <c r="AI148" s="23">
        <f t="shared" si="29"/>
        <v>0.56327121977496653</v>
      </c>
      <c r="AJ148" s="24" t="str">
        <f t="shared" si="30"/>
        <v/>
      </c>
    </row>
    <row r="149" spans="1:36">
      <c r="A149" s="4">
        <v>10</v>
      </c>
      <c r="B149" s="4" t="s">
        <v>94</v>
      </c>
      <c r="C149" s="4">
        <v>10</v>
      </c>
      <c r="D149" s="6">
        <v>2</v>
      </c>
      <c r="E149" s="4">
        <f t="shared" ca="1" si="25"/>
        <v>55</v>
      </c>
      <c r="F149" s="4" t="s">
        <v>11</v>
      </c>
      <c r="G149" s="8">
        <v>16.100000000000001</v>
      </c>
      <c r="H149" s="8">
        <v>15.4</v>
      </c>
      <c r="J149" s="22">
        <v>15.4</v>
      </c>
      <c r="K149" s="4">
        <v>32.909999999999997</v>
      </c>
      <c r="L149" s="4">
        <v>6.01</v>
      </c>
      <c r="M149" s="4">
        <v>22.37</v>
      </c>
      <c r="N149" s="23">
        <v>5.25</v>
      </c>
      <c r="S149" s="4" t="s">
        <v>289</v>
      </c>
      <c r="T149" s="4">
        <f>_xlfn.STDEV.S(K143:K169)</f>
        <v>9.5726939082459523</v>
      </c>
      <c r="U149" s="4">
        <f t="shared" ref="U149:W149" si="35">_xlfn.STDEV.S(L143:L169)</f>
        <v>8.7679912879217117</v>
      </c>
      <c r="V149" s="4">
        <f t="shared" si="35"/>
        <v>10.021415274429261</v>
      </c>
      <c r="W149" s="4">
        <f t="shared" si="35"/>
        <v>8.7114037812774949</v>
      </c>
      <c r="AH149" s="22">
        <f t="array" ref="AH149">MMULT(G135:H135-$AK$24:$AL$24,MMULT($AK$20:$AL$21,TRANSPOSE(G135:H135-$AK$24:$AL$24)))</f>
        <v>2.5661838983589145</v>
      </c>
      <c r="AI149" s="23">
        <f t="shared" si="29"/>
        <v>0.27717895092059491</v>
      </c>
      <c r="AJ149" s="24" t="str">
        <f t="shared" si="30"/>
        <v/>
      </c>
    </row>
    <row r="150" spans="1:36">
      <c r="A150" s="4">
        <v>11</v>
      </c>
      <c r="B150" s="4" t="s">
        <v>95</v>
      </c>
      <c r="C150" s="4">
        <v>11</v>
      </c>
      <c r="D150" s="6">
        <v>2</v>
      </c>
      <c r="E150" s="4">
        <f t="shared" ca="1" si="25"/>
        <v>31</v>
      </c>
      <c r="F150" s="4" t="s">
        <v>11</v>
      </c>
      <c r="G150" s="8">
        <v>18.5</v>
      </c>
      <c r="H150" s="8">
        <v>18.2</v>
      </c>
      <c r="J150" s="22">
        <v>17.8</v>
      </c>
      <c r="K150" s="4">
        <v>16.96</v>
      </c>
      <c r="L150" s="4">
        <v>23.57</v>
      </c>
      <c r="M150" s="4">
        <v>34.28</v>
      </c>
      <c r="N150" s="23">
        <v>9.7100000000000009</v>
      </c>
      <c r="S150" s="4" t="s">
        <v>290</v>
      </c>
      <c r="T150" s="4">
        <f>_xlfn.VAR.S(K143:K169)</f>
        <v>91.636468660969157</v>
      </c>
      <c r="U150" s="4">
        <f t="shared" ref="U150:W150" si="36">_xlfn.VAR.S(L143:L169)</f>
        <v>76.877671225071026</v>
      </c>
      <c r="V150" s="4">
        <f t="shared" si="36"/>
        <v>100.42876410256409</v>
      </c>
      <c r="W150" s="4">
        <f t="shared" si="36"/>
        <v>75.888555840455837</v>
      </c>
      <c r="Y150" s="4" t="s">
        <v>291</v>
      </c>
      <c r="AH150" s="18">
        <f t="array" ref="AH150">MMULT(G136:H136-$AK$24:$AL$24,MMULT($AK$20:$AL$21,TRANSPOSE(G136:H136-$AK$24:$AL$24)))</f>
        <v>1.4079117548531261</v>
      </c>
      <c r="AI150" s="19">
        <f t="shared" si="29"/>
        <v>0.49462475360261049</v>
      </c>
      <c r="AJ150" s="24" t="str">
        <f t="shared" si="30"/>
        <v/>
      </c>
    </row>
    <row r="151" spans="1:36">
      <c r="A151" s="4">
        <v>12</v>
      </c>
      <c r="B151" s="4" t="s">
        <v>97</v>
      </c>
      <c r="C151" s="4">
        <v>12</v>
      </c>
      <c r="D151" s="6">
        <v>2</v>
      </c>
      <c r="E151" s="4">
        <f t="shared" ca="1" si="25"/>
        <v>22</v>
      </c>
      <c r="F151" s="4" t="s">
        <v>11</v>
      </c>
      <c r="G151" s="8">
        <v>14.6</v>
      </c>
      <c r="H151" s="8">
        <v>15.2</v>
      </c>
      <c r="J151" s="22">
        <v>22</v>
      </c>
      <c r="K151" s="4">
        <v>27.09</v>
      </c>
      <c r="L151" s="4">
        <v>24.22</v>
      </c>
      <c r="M151" s="4">
        <v>30.33</v>
      </c>
      <c r="N151" s="23">
        <v>24.8</v>
      </c>
      <c r="S151" s="4" t="s">
        <v>292</v>
      </c>
      <c r="T151" s="4">
        <f>KURT(K143:K169)</f>
        <v>0.55057378996529405</v>
      </c>
      <c r="U151" s="4">
        <f t="shared" ref="U151:W151" si="37">KURT(L143:L169)</f>
        <v>0.6842058907724029</v>
      </c>
      <c r="V151" s="4">
        <f t="shared" si="37"/>
        <v>-0.41600050364779229</v>
      </c>
      <c r="W151" s="4">
        <f t="shared" si="37"/>
        <v>-0.50125955347532702</v>
      </c>
    </row>
    <row r="152" spans="1:36">
      <c r="A152" s="4">
        <v>13</v>
      </c>
      <c r="B152" s="4" t="s">
        <v>104</v>
      </c>
      <c r="C152" s="4">
        <v>13</v>
      </c>
      <c r="D152" s="6">
        <v>1</v>
      </c>
      <c r="E152" s="4">
        <f t="shared" ca="1" si="25"/>
        <v>21</v>
      </c>
      <c r="F152" s="4" t="s">
        <v>11</v>
      </c>
      <c r="G152" s="8">
        <v>20.8</v>
      </c>
      <c r="H152" s="8">
        <v>20.6</v>
      </c>
      <c r="J152" s="22">
        <v>16.100000000000001</v>
      </c>
      <c r="K152" s="4">
        <v>53.56</v>
      </c>
      <c r="L152" s="4">
        <v>22.74</v>
      </c>
      <c r="M152" s="4">
        <v>17.41</v>
      </c>
      <c r="N152" s="23">
        <v>19.87</v>
      </c>
      <c r="S152" s="4" t="s">
        <v>293</v>
      </c>
      <c r="T152" s="4">
        <f>SKEW(K143:K169)</f>
        <v>0.47433252030074818</v>
      </c>
      <c r="U152" s="4">
        <f t="shared" ref="U152:W152" si="38">SKEW(L143:L169)</f>
        <v>-1.0779783111097474</v>
      </c>
      <c r="V152" s="4">
        <f t="shared" si="38"/>
        <v>0.39302507341322834</v>
      </c>
      <c r="W152" s="4">
        <f t="shared" si="38"/>
        <v>-0.38895179804641239</v>
      </c>
      <c r="Y152" s="4" t="s">
        <v>294</v>
      </c>
      <c r="Z152" s="4">
        <f>[1]!DAGOSTINO(K143:K169)</f>
        <v>1.894803909506797</v>
      </c>
      <c r="AA152" s="4">
        <f>[1]!DAGOSTINO(L143:L169)</f>
        <v>6.2248725805145053</v>
      </c>
      <c r="AB152" s="4">
        <f>[1]!DAGOSTINO(M143:M169)</f>
        <v>0.96892690956917804</v>
      </c>
      <c r="AC152" s="4">
        <f>[1]!DAGOSTINO(N143:N169)</f>
        <v>1.0745286202052622</v>
      </c>
    </row>
    <row r="153" spans="1:36">
      <c r="A153" s="4">
        <v>14</v>
      </c>
      <c r="B153" s="4" t="s">
        <v>106</v>
      </c>
      <c r="C153" s="4">
        <v>14</v>
      </c>
      <c r="D153" s="6">
        <v>2</v>
      </c>
      <c r="E153" s="4">
        <f t="shared" ca="1" si="25"/>
        <v>62</v>
      </c>
      <c r="F153" s="4" t="s">
        <v>11</v>
      </c>
      <c r="G153" s="8">
        <v>23</v>
      </c>
      <c r="H153" s="8">
        <v>24.5</v>
      </c>
      <c r="J153" s="22">
        <v>18.5</v>
      </c>
      <c r="K153" s="4">
        <v>42.08</v>
      </c>
      <c r="L153" s="4">
        <v>26.96</v>
      </c>
      <c r="M153" s="4">
        <v>3.76</v>
      </c>
      <c r="N153" s="23">
        <v>18.86</v>
      </c>
      <c r="S153" s="4" t="s">
        <v>295</v>
      </c>
      <c r="T153" s="4">
        <f>T154-T155</f>
        <v>42.67</v>
      </c>
      <c r="U153" s="4">
        <f t="shared" ref="U153:W153" si="39">U154-U155</f>
        <v>34</v>
      </c>
      <c r="V153" s="4">
        <f t="shared" si="39"/>
        <v>36.81</v>
      </c>
      <c r="W153" s="4">
        <f t="shared" si="39"/>
        <v>29.7</v>
      </c>
      <c r="Y153" s="4" t="s">
        <v>23</v>
      </c>
      <c r="Z153" s="4">
        <f>[1]!DPTEST(K143:K169)</f>
        <v>0.38774710048306904</v>
      </c>
      <c r="AA153" s="4">
        <f>[1]!DPTEST(L143:L169)</f>
        <v>4.4492426724600409E-2</v>
      </c>
      <c r="AB153" s="4">
        <f>[1]!DPTEST(M143:M169)</f>
        <v>0.61602763478889422</v>
      </c>
      <c r="AC153" s="4">
        <f>[1]!DPTEST(N143:N169)</f>
        <v>0.58434465351433251</v>
      </c>
    </row>
    <row r="154" spans="1:36">
      <c r="A154" s="4">
        <v>15</v>
      </c>
      <c r="B154" s="4" t="s">
        <v>121</v>
      </c>
      <c r="C154" s="4">
        <v>15</v>
      </c>
      <c r="D154" s="6">
        <v>1</v>
      </c>
      <c r="E154" s="4">
        <f t="shared" ca="1" si="25"/>
        <v>24</v>
      </c>
      <c r="F154" s="4" t="s">
        <v>11</v>
      </c>
      <c r="G154" s="8">
        <v>19.3</v>
      </c>
      <c r="H154" s="8">
        <v>20.399999999999999</v>
      </c>
      <c r="J154" s="22">
        <v>14.6</v>
      </c>
      <c r="K154" s="4">
        <v>31.79</v>
      </c>
      <c r="L154" s="4">
        <v>36.29</v>
      </c>
      <c r="M154" s="4">
        <v>19.98</v>
      </c>
      <c r="N154" s="23">
        <v>23.98</v>
      </c>
      <c r="S154" s="4" t="s">
        <v>7</v>
      </c>
      <c r="T154" s="4">
        <f>MAX(K143:K169)</f>
        <v>53.56</v>
      </c>
      <c r="U154" s="4">
        <f t="shared" ref="U154:W154" si="40">MAX(L143:L169)</f>
        <v>36.29</v>
      </c>
      <c r="V154" s="4">
        <f t="shared" si="40"/>
        <v>39.340000000000003</v>
      </c>
      <c r="W154" s="4">
        <f t="shared" si="40"/>
        <v>34.58</v>
      </c>
      <c r="Y154" s="4" t="s">
        <v>286</v>
      </c>
      <c r="Z154" s="4">
        <v>0.05</v>
      </c>
      <c r="AA154" s="4">
        <v>0.05</v>
      </c>
      <c r="AB154" s="4">
        <v>0.05</v>
      </c>
      <c r="AC154" s="4">
        <v>0.05</v>
      </c>
    </row>
    <row r="155" spans="1:36">
      <c r="A155" s="4">
        <v>16</v>
      </c>
      <c r="B155" s="4" t="s">
        <v>124</v>
      </c>
      <c r="C155" s="4">
        <v>16</v>
      </c>
      <c r="D155" s="6">
        <v>1</v>
      </c>
      <c r="E155" s="4">
        <f t="shared" ca="1" si="25"/>
        <v>18</v>
      </c>
      <c r="F155" s="4" t="s">
        <v>11</v>
      </c>
      <c r="G155" s="8">
        <v>16.600000000000001</v>
      </c>
      <c r="H155" s="8">
        <v>16.7</v>
      </c>
      <c r="J155" s="22">
        <v>20.8</v>
      </c>
      <c r="K155" s="4">
        <v>35.869999999999997</v>
      </c>
      <c r="L155" s="4">
        <v>28.43</v>
      </c>
      <c r="M155" s="4">
        <v>2.56</v>
      </c>
      <c r="N155" s="23">
        <v>24.65</v>
      </c>
      <c r="S155" s="4" t="s">
        <v>8</v>
      </c>
      <c r="T155" s="4">
        <f>MIN(K143:K169)</f>
        <v>10.89</v>
      </c>
      <c r="U155" s="4">
        <f t="shared" ref="U155:W155" si="41">MIN(L143:L169)</f>
        <v>2.29</v>
      </c>
      <c r="V155" s="4">
        <f t="shared" si="41"/>
        <v>2.5299999999999998</v>
      </c>
      <c r="W155" s="4">
        <f t="shared" si="41"/>
        <v>4.88</v>
      </c>
      <c r="Y155" s="4" t="s">
        <v>288</v>
      </c>
      <c r="Z155" s="32" t="str">
        <f>IF(Z153&lt;Z154,"no","yes")</f>
        <v>yes</v>
      </c>
      <c r="AA155" s="32" t="str">
        <f t="shared" ref="AA155:AC155" si="42">IF(AA153&lt;AA154,"no","yes")</f>
        <v>no</v>
      </c>
      <c r="AB155" s="32" t="str">
        <f t="shared" si="42"/>
        <v>yes</v>
      </c>
      <c r="AC155" s="32" t="str">
        <f t="shared" si="42"/>
        <v>yes</v>
      </c>
    </row>
    <row r="156" spans="1:36">
      <c r="A156" s="4">
        <v>17</v>
      </c>
      <c r="B156" s="4" t="s">
        <v>128</v>
      </c>
      <c r="C156" s="4">
        <v>17</v>
      </c>
      <c r="D156" s="6">
        <v>2</v>
      </c>
      <c r="E156" s="4">
        <f t="shared" ca="1" si="25"/>
        <v>63</v>
      </c>
      <c r="F156" s="4" t="s">
        <v>11</v>
      </c>
      <c r="G156" s="8">
        <v>21.5</v>
      </c>
      <c r="H156" s="8">
        <v>21.5</v>
      </c>
      <c r="J156" s="22">
        <v>23</v>
      </c>
      <c r="K156" s="4">
        <v>20.89</v>
      </c>
      <c r="L156" s="4">
        <v>16.600000000000001</v>
      </c>
      <c r="M156" s="4">
        <v>4.01</v>
      </c>
      <c r="N156" s="23">
        <v>18.95</v>
      </c>
      <c r="S156" s="4" t="s">
        <v>129</v>
      </c>
      <c r="T156" s="4">
        <f>SUM(K143:K169)</f>
        <v>819.42999999999984</v>
      </c>
      <c r="U156" s="4">
        <f t="shared" ref="U156:W156" si="43">SUM(L143:L169)</f>
        <v>585.25000000000011</v>
      </c>
      <c r="V156" s="4">
        <f t="shared" si="43"/>
        <v>468.21</v>
      </c>
      <c r="W156" s="4">
        <f t="shared" si="43"/>
        <v>560.41</v>
      </c>
    </row>
    <row r="157" spans="1:36">
      <c r="A157" s="4">
        <v>18</v>
      </c>
      <c r="B157" s="4" t="s">
        <v>134</v>
      </c>
      <c r="C157" s="4">
        <v>18</v>
      </c>
      <c r="D157" s="6">
        <v>1</v>
      </c>
      <c r="E157" s="4">
        <f t="shared" ca="1" si="25"/>
        <v>40</v>
      </c>
      <c r="F157" s="4" t="s">
        <v>11</v>
      </c>
      <c r="G157" s="8">
        <v>21</v>
      </c>
      <c r="H157" s="8">
        <v>22.4</v>
      </c>
      <c r="J157" s="22">
        <v>19.3</v>
      </c>
      <c r="K157" s="4">
        <v>21.8</v>
      </c>
      <c r="L157" s="4">
        <v>3.23</v>
      </c>
      <c r="M157" s="4">
        <v>12.84</v>
      </c>
      <c r="N157" s="23">
        <v>27.18</v>
      </c>
      <c r="S157" s="4" t="s">
        <v>116</v>
      </c>
      <c r="T157" s="4">
        <f>COUNT(K143:K169)</f>
        <v>27</v>
      </c>
      <c r="U157" s="4">
        <f t="shared" ref="U157:W157" si="44">COUNT(L143:L169)</f>
        <v>27</v>
      </c>
      <c r="V157" s="4">
        <f t="shared" si="44"/>
        <v>27</v>
      </c>
      <c r="W157" s="4">
        <f t="shared" si="44"/>
        <v>27</v>
      </c>
    </row>
    <row r="158" spans="1:36" ht="15.75" thickBot="1">
      <c r="A158" s="4">
        <v>19</v>
      </c>
      <c r="B158" s="4" t="s">
        <v>139</v>
      </c>
      <c r="C158" s="4">
        <v>19</v>
      </c>
      <c r="D158" s="6">
        <v>2</v>
      </c>
      <c r="E158" s="4">
        <f t="shared" ca="1" si="25"/>
        <v>70</v>
      </c>
      <c r="F158" s="4" t="s">
        <v>11</v>
      </c>
      <c r="G158" s="8">
        <v>15.9</v>
      </c>
      <c r="H158" s="8">
        <v>16.100000000000001</v>
      </c>
      <c r="J158" s="22">
        <v>16.600000000000001</v>
      </c>
      <c r="K158" s="4">
        <v>34.58</v>
      </c>
      <c r="L158" s="4">
        <v>17.350000000000001</v>
      </c>
      <c r="M158" s="4">
        <v>6.84</v>
      </c>
      <c r="N158" s="23">
        <v>29.21</v>
      </c>
      <c r="S158" s="4" t="s">
        <v>296</v>
      </c>
      <c r="T158" s="4">
        <f>GEOMEAN(K143:K169)</f>
        <v>28.834847953943783</v>
      </c>
      <c r="U158" s="4">
        <f t="shared" ref="U158:W158" si="45">GEOMEAN(L143:L169)</f>
        <v>18.30436433014415</v>
      </c>
      <c r="V158" s="4">
        <f t="shared" si="45"/>
        <v>13.870687516340519</v>
      </c>
      <c r="W158" s="4">
        <f t="shared" si="45"/>
        <v>18.299561268593727</v>
      </c>
      <c r="Y158" s="14" t="s">
        <v>297</v>
      </c>
      <c r="Z158" s="14"/>
      <c r="AA158" s="14"/>
      <c r="AB158" s="14" t="s">
        <v>286</v>
      </c>
      <c r="AC158" s="14">
        <v>0.05</v>
      </c>
      <c r="AD158" s="14"/>
    </row>
    <row r="159" spans="1:36" ht="15.75" thickTop="1">
      <c r="A159" s="4">
        <v>20</v>
      </c>
      <c r="B159" s="4" t="s">
        <v>140</v>
      </c>
      <c r="C159" s="4">
        <v>20</v>
      </c>
      <c r="D159" s="6">
        <v>2</v>
      </c>
      <c r="E159" s="4">
        <f t="shared" ca="1" si="25"/>
        <v>70</v>
      </c>
      <c r="F159" s="4" t="s">
        <v>11</v>
      </c>
      <c r="G159" s="8">
        <v>9.5</v>
      </c>
      <c r="H159" s="8">
        <v>0.6</v>
      </c>
      <c r="J159" s="22">
        <v>21.5</v>
      </c>
      <c r="K159" s="4">
        <v>28.17</v>
      </c>
      <c r="L159" s="4">
        <v>3.5</v>
      </c>
      <c r="M159" s="4">
        <v>33.409999999999997</v>
      </c>
      <c r="N159" s="23">
        <v>22.08</v>
      </c>
      <c r="S159" s="4" t="s">
        <v>298</v>
      </c>
      <c r="T159" s="4">
        <f>HARMEAN(K143:K169)</f>
        <v>27.17651787052564</v>
      </c>
      <c r="U159" s="4">
        <f t="shared" ref="U159:W159" si="46">HARMEAN(L143:L169)</f>
        <v>12.505954960893012</v>
      </c>
      <c r="V159" s="4">
        <f t="shared" si="46"/>
        <v>9.9030138785959512</v>
      </c>
      <c r="W159" s="4">
        <f t="shared" si="46"/>
        <v>15.10417228228912</v>
      </c>
      <c r="Y159" s="15" t="s">
        <v>299</v>
      </c>
      <c r="Z159" s="15" t="s">
        <v>47</v>
      </c>
      <c r="AA159" s="15" t="s">
        <v>3</v>
      </c>
      <c r="AB159" s="15" t="s">
        <v>300</v>
      </c>
      <c r="AC159" s="15" t="s">
        <v>76</v>
      </c>
      <c r="AD159" s="15" t="s">
        <v>301</v>
      </c>
    </row>
    <row r="160" spans="1:36">
      <c r="A160" s="4">
        <v>21</v>
      </c>
      <c r="B160" s="4" t="s">
        <v>142</v>
      </c>
      <c r="C160" s="4">
        <v>21</v>
      </c>
      <c r="D160" s="6">
        <v>2</v>
      </c>
      <c r="E160" s="4">
        <f t="shared" ca="1" si="25"/>
        <v>30</v>
      </c>
      <c r="F160" s="4" t="s">
        <v>11</v>
      </c>
      <c r="G160" s="8">
        <v>24.1</v>
      </c>
      <c r="H160" s="8">
        <v>23.1</v>
      </c>
      <c r="J160" s="22">
        <v>21</v>
      </c>
      <c r="K160" s="4">
        <v>22.02</v>
      </c>
      <c r="L160" s="4">
        <v>21.79</v>
      </c>
      <c r="M160" s="4">
        <v>13.62</v>
      </c>
      <c r="N160" s="23">
        <v>34.479999999999997</v>
      </c>
      <c r="S160" s="4" t="s">
        <v>302</v>
      </c>
      <c r="T160" s="4">
        <f>AVEDEV(K143:K169)</f>
        <v>7.3985459533607685</v>
      </c>
      <c r="U160" s="4">
        <f t="shared" ref="U160:W160" si="47">AVEDEV(L143:L169)</f>
        <v>6.3955006858710544</v>
      </c>
      <c r="V160" s="4">
        <f t="shared" si="47"/>
        <v>7.8744855967078182</v>
      </c>
      <c r="W160" s="4">
        <f t="shared" si="47"/>
        <v>6.8027434842249646</v>
      </c>
      <c r="Y160" s="4" t="str">
        <f>J142</f>
        <v>I</v>
      </c>
      <c r="Z160" s="4">
        <f>AVERAGE(J143:J169)</f>
        <v>17.477777777777778</v>
      </c>
      <c r="AA160" s="4">
        <f>COUNT(J143:J169)</f>
        <v>27</v>
      </c>
      <c r="AB160" s="4">
        <f>DEVSQ(J143:J169)</f>
        <v>350.5866666666667</v>
      </c>
    </row>
    <row r="161" spans="1:34">
      <c r="A161" s="4">
        <v>22</v>
      </c>
      <c r="B161" s="4" t="s">
        <v>145</v>
      </c>
      <c r="C161" s="4">
        <v>22</v>
      </c>
      <c r="D161" s="6">
        <v>1</v>
      </c>
      <c r="E161" s="4">
        <f t="shared" ca="1" si="25"/>
        <v>27</v>
      </c>
      <c r="F161" s="4" t="s">
        <v>11</v>
      </c>
      <c r="G161" s="8">
        <v>14.7</v>
      </c>
      <c r="H161" s="8">
        <v>14.4</v>
      </c>
      <c r="J161" s="22">
        <v>15.9</v>
      </c>
      <c r="K161" s="4">
        <v>10.89</v>
      </c>
      <c r="L161" s="4">
        <v>27.89</v>
      </c>
      <c r="M161" s="4">
        <v>18.690000000000001</v>
      </c>
      <c r="N161" s="23">
        <v>32.549999999999997</v>
      </c>
      <c r="S161" s="4" t="s">
        <v>303</v>
      </c>
      <c r="T161" s="4">
        <f>[1]!MAD(K143:K169)</f>
        <v>6.48</v>
      </c>
      <c r="U161" s="4">
        <f>[1]!MAD(L143:L169)</f>
        <v>4.0199999999999996</v>
      </c>
      <c r="V161" s="4">
        <f>[1]!MAD(M143:M169)</f>
        <v>6.9199999999999982</v>
      </c>
      <c r="W161" s="4">
        <f>[1]!MAD(N143:N169)</f>
        <v>4.1599999999999966</v>
      </c>
      <c r="Y161" s="4" t="str">
        <f>K142</f>
        <v>II ALTO</v>
      </c>
      <c r="Z161" s="4">
        <f>AVERAGE(K143:K169)</f>
        <v>30.349259259259252</v>
      </c>
      <c r="AA161" s="4">
        <f>COUNT(K143:K169)</f>
        <v>27</v>
      </c>
      <c r="AB161" s="4">
        <f>DEVSQ(K143:K169)</f>
        <v>2382.5481851851846</v>
      </c>
    </row>
    <row r="162" spans="1:34">
      <c r="A162" s="4">
        <v>23</v>
      </c>
      <c r="B162" s="4" t="s">
        <v>150</v>
      </c>
      <c r="C162" s="4">
        <v>23</v>
      </c>
      <c r="D162" s="6">
        <v>1</v>
      </c>
      <c r="E162" s="4">
        <f t="shared" ca="1" si="25"/>
        <v>31</v>
      </c>
      <c r="F162" s="4" t="s">
        <v>11</v>
      </c>
      <c r="G162" s="8">
        <v>16.899999999999999</v>
      </c>
      <c r="H162" s="8">
        <v>16.3</v>
      </c>
      <c r="J162" s="22">
        <v>9.5</v>
      </c>
      <c r="K162" s="4">
        <v>30.78</v>
      </c>
      <c r="L162" s="4">
        <v>2.29</v>
      </c>
      <c r="M162" s="4">
        <v>2.5299999999999998</v>
      </c>
      <c r="N162" s="23">
        <v>31.86</v>
      </c>
      <c r="S162" s="4" t="s">
        <v>9</v>
      </c>
      <c r="T162" s="4">
        <f>[1]!IQR(K143:K169,FALSE)</f>
        <v>11.549999999999994</v>
      </c>
      <c r="U162" s="4">
        <f>[1]!IQR(L143:L169,FALSE)</f>
        <v>7.6499999999999986</v>
      </c>
      <c r="V162" s="4">
        <f>[1]!IQR(M143:M169,FALSE)</f>
        <v>12.555</v>
      </c>
      <c r="W162" s="4">
        <f>[1]!IQR(N143:N169,FALSE)</f>
        <v>7.9549999999999983</v>
      </c>
      <c r="Y162" s="4" t="str">
        <f>L142</f>
        <v>II BAJO</v>
      </c>
      <c r="Z162" s="4">
        <f>AVERAGE(L143:L169)</f>
        <v>21.675925925925931</v>
      </c>
      <c r="AA162" s="4">
        <f>COUNT(L143:L169)</f>
        <v>27</v>
      </c>
      <c r="AB162" s="4">
        <f>DEVSQ(L143:L169)</f>
        <v>1998.8194518518519</v>
      </c>
    </row>
    <row r="163" spans="1:34">
      <c r="A163" s="4">
        <v>24</v>
      </c>
      <c r="B163" s="4" t="s">
        <v>152</v>
      </c>
      <c r="C163" s="4">
        <v>24</v>
      </c>
      <c r="D163" s="6">
        <v>1</v>
      </c>
      <c r="E163" s="4">
        <f t="shared" ca="1" si="25"/>
        <v>25</v>
      </c>
      <c r="F163" s="4" t="s">
        <v>11</v>
      </c>
      <c r="G163" s="8">
        <v>14.9</v>
      </c>
      <c r="H163" s="8">
        <v>15.2</v>
      </c>
      <c r="J163" s="22">
        <v>24.1</v>
      </c>
      <c r="K163" s="4">
        <v>32.479999999999997</v>
      </c>
      <c r="L163" s="4">
        <v>29.05</v>
      </c>
      <c r="M163" s="4">
        <v>9.06</v>
      </c>
      <c r="N163" s="23">
        <v>19.920000000000002</v>
      </c>
      <c r="Y163" s="4" t="str">
        <f>M142</f>
        <v>III ALTO</v>
      </c>
      <c r="Z163" s="4">
        <f>AVERAGE(M143:M169)</f>
        <v>17.341111111111111</v>
      </c>
      <c r="AA163" s="4">
        <f>COUNT(M143:M169)</f>
        <v>27</v>
      </c>
      <c r="AB163" s="4">
        <f>DEVSQ(M143:M169)</f>
        <v>2611.1478666666653</v>
      </c>
    </row>
    <row r="164" spans="1:34">
      <c r="A164" s="4">
        <v>25</v>
      </c>
      <c r="B164" s="4" t="s">
        <v>153</v>
      </c>
      <c r="C164" s="4">
        <v>25</v>
      </c>
      <c r="D164" s="6">
        <v>2</v>
      </c>
      <c r="E164" s="4">
        <f t="shared" ca="1" si="25"/>
        <v>38</v>
      </c>
      <c r="F164" s="4" t="s">
        <v>11</v>
      </c>
      <c r="G164" s="8">
        <v>19</v>
      </c>
      <c r="H164" s="8">
        <v>18.3</v>
      </c>
      <c r="J164" s="22">
        <v>14.7</v>
      </c>
      <c r="K164" s="4">
        <v>49.96</v>
      </c>
      <c r="L164" s="4">
        <v>31.71</v>
      </c>
      <c r="M164" s="4">
        <v>11.72</v>
      </c>
      <c r="N164" s="23">
        <v>13.29</v>
      </c>
      <c r="Y164" s="4" t="str">
        <f>N142</f>
        <v>III BAJO</v>
      </c>
      <c r="Z164" s="4">
        <f>AVERAGE(N143:N169)</f>
        <v>20.755925925925926</v>
      </c>
      <c r="AA164" s="4">
        <f>COUNT(N143:N169)</f>
        <v>27</v>
      </c>
      <c r="AB164" s="4">
        <f>DEVSQ(N143:N169)</f>
        <v>1973.1024518518518</v>
      </c>
    </row>
    <row r="165" spans="1:34">
      <c r="A165" s="4">
        <v>26</v>
      </c>
      <c r="B165" s="4" t="s">
        <v>159</v>
      </c>
      <c r="C165" s="4">
        <v>26</v>
      </c>
      <c r="D165" s="6">
        <v>2</v>
      </c>
      <c r="E165" s="4">
        <f t="shared" ca="1" si="25"/>
        <v>30</v>
      </c>
      <c r="F165" s="4" t="s">
        <v>11</v>
      </c>
      <c r="G165" s="8">
        <v>15</v>
      </c>
      <c r="H165" s="8">
        <v>15.5</v>
      </c>
      <c r="J165" s="22">
        <v>16.899999999999999</v>
      </c>
      <c r="K165" s="4">
        <v>38.65</v>
      </c>
      <c r="L165" s="4">
        <v>20.43</v>
      </c>
      <c r="M165" s="4">
        <v>23.52</v>
      </c>
      <c r="N165" s="23">
        <v>24.17</v>
      </c>
      <c r="AA165" s="4">
        <f>SUM(AA160:AA164)</f>
        <v>135</v>
      </c>
      <c r="AB165" s="4">
        <f>SUM(AB160:AB164)</f>
        <v>9316.2046222222198</v>
      </c>
      <c r="AC165" s="4">
        <f>AA165-COUNT(AA160:AA164)</f>
        <v>130</v>
      </c>
      <c r="AD165" s="4">
        <f>[1]!QCRIT(COUNT(AA160:AA164),AC165,AC158,2)</f>
        <v>3.9123846153846151</v>
      </c>
    </row>
    <row r="166" spans="1:34" ht="15.75" thickBot="1">
      <c r="A166" s="4">
        <v>27</v>
      </c>
      <c r="B166" s="4" t="s">
        <v>163</v>
      </c>
      <c r="C166" s="4">
        <v>27</v>
      </c>
      <c r="D166" s="6">
        <v>1</v>
      </c>
      <c r="E166" s="4">
        <f t="shared" ca="1" si="25"/>
        <v>22</v>
      </c>
      <c r="F166" s="4" t="s">
        <v>11</v>
      </c>
      <c r="G166" s="8">
        <v>9.5</v>
      </c>
      <c r="H166" s="8">
        <v>10.5</v>
      </c>
      <c r="J166" s="22">
        <v>14.9</v>
      </c>
      <c r="K166" s="4">
        <v>26.56</v>
      </c>
      <c r="L166" s="4">
        <v>21.31</v>
      </c>
      <c r="M166" s="4">
        <v>12.92</v>
      </c>
      <c r="N166" s="23">
        <v>25.59</v>
      </c>
      <c r="Y166" s="14" t="s">
        <v>304</v>
      </c>
      <c r="Z166" s="14"/>
      <c r="AA166" s="14"/>
      <c r="AB166" s="14"/>
      <c r="AC166" s="14"/>
      <c r="AD166" s="14"/>
      <c r="AE166" s="14"/>
      <c r="AF166" s="14"/>
      <c r="AG166" s="14"/>
      <c r="AH166" s="14"/>
    </row>
    <row r="167" spans="1:34" ht="15.75" thickTop="1">
      <c r="A167" s="4">
        <v>1</v>
      </c>
      <c r="B167" s="4" t="s">
        <v>166</v>
      </c>
      <c r="C167" s="4">
        <v>28</v>
      </c>
      <c r="D167" s="5">
        <v>2</v>
      </c>
      <c r="E167" s="4">
        <f t="shared" ca="1" si="25"/>
        <v>60</v>
      </c>
      <c r="F167" s="4" t="s">
        <v>12</v>
      </c>
      <c r="G167" s="4">
        <v>24.3</v>
      </c>
      <c r="H167" s="4">
        <v>26.56</v>
      </c>
      <c r="J167" s="22">
        <v>19</v>
      </c>
      <c r="K167" s="4">
        <v>20.55</v>
      </c>
      <c r="L167" s="4">
        <v>20.55</v>
      </c>
      <c r="M167" s="4">
        <v>26.97</v>
      </c>
      <c r="N167" s="23">
        <v>23.83</v>
      </c>
      <c r="Y167" s="15" t="s">
        <v>45</v>
      </c>
      <c r="Z167" s="15" t="s">
        <v>46</v>
      </c>
      <c r="AA167" s="15" t="s">
        <v>47</v>
      </c>
      <c r="AB167" s="15" t="s">
        <v>305</v>
      </c>
      <c r="AC167" s="15" t="s">
        <v>306</v>
      </c>
      <c r="AD167" s="15" t="s">
        <v>158</v>
      </c>
      <c r="AE167" s="15" t="s">
        <v>162</v>
      </c>
      <c r="AF167" s="15" t="s">
        <v>23</v>
      </c>
      <c r="AG167" s="15" t="s">
        <v>307</v>
      </c>
      <c r="AH167" s="15" t="s">
        <v>308</v>
      </c>
    </row>
    <row r="168" spans="1:34">
      <c r="A168" s="4">
        <v>2</v>
      </c>
      <c r="B168" s="4" t="s">
        <v>168</v>
      </c>
      <c r="C168" s="4">
        <v>29</v>
      </c>
      <c r="D168" s="5">
        <v>2</v>
      </c>
      <c r="E168" s="4">
        <f t="shared" ca="1" si="25"/>
        <v>45</v>
      </c>
      <c r="F168" s="4" t="s">
        <v>12</v>
      </c>
      <c r="G168" s="4">
        <v>39.03</v>
      </c>
      <c r="H168" s="4">
        <v>33.4</v>
      </c>
      <c r="J168" s="22">
        <v>15</v>
      </c>
      <c r="K168" s="4">
        <v>23.05</v>
      </c>
      <c r="L168" s="4">
        <v>23.85</v>
      </c>
      <c r="M168" s="4">
        <v>20.85</v>
      </c>
      <c r="N168" s="23">
        <v>34.58</v>
      </c>
      <c r="Y168" s="4" t="str">
        <f>Y160</f>
        <v>I</v>
      </c>
      <c r="Z168" s="4" t="str">
        <f>Y161</f>
        <v>II ALTO</v>
      </c>
      <c r="AA168" s="4">
        <f>ABS(Z160-Z161)</f>
        <v>12.871481481481474</v>
      </c>
      <c r="AB168" s="4">
        <f>SQRT(AB165/AC165/HARMEAN(AA160,AA161))</f>
        <v>1.6291683004098936</v>
      </c>
      <c r="AC168" s="4">
        <f>AA168/AB168</f>
        <v>7.9006456719315317</v>
      </c>
      <c r="AD168" s="4">
        <f>AA168-AB168*AD$165</f>
        <v>6.4975484870855063</v>
      </c>
      <c r="AE168" s="4">
        <f>AA168+AB168*AD$165</f>
        <v>19.245414475877443</v>
      </c>
      <c r="AF168" s="4">
        <f>[1]!QDIST(AC168,COUNT($AA$160:$AA$164),AC$165)</f>
        <v>1.2865590909294511E-6</v>
      </c>
      <c r="AG168" s="4">
        <f>AB168*AD$165</f>
        <v>6.3739329943959682</v>
      </c>
      <c r="AH168" s="4">
        <f>AA168*SQRT(AC$165/AB$165)</f>
        <v>1.5204799684871737</v>
      </c>
    </row>
    <row r="169" spans="1:34">
      <c r="A169" s="4">
        <v>3</v>
      </c>
      <c r="B169" s="4" t="s">
        <v>169</v>
      </c>
      <c r="C169" s="4">
        <v>30</v>
      </c>
      <c r="D169" s="5">
        <v>2</v>
      </c>
      <c r="E169" s="4">
        <f t="shared" ca="1" si="25"/>
        <v>55</v>
      </c>
      <c r="F169" s="4" t="s">
        <v>12</v>
      </c>
      <c r="G169" s="4">
        <v>33.4</v>
      </c>
      <c r="H169" s="4">
        <v>43.01</v>
      </c>
      <c r="J169" s="18">
        <v>9.5</v>
      </c>
      <c r="K169" s="39">
        <v>31.49</v>
      </c>
      <c r="L169" s="39">
        <v>27.59</v>
      </c>
      <c r="M169" s="39">
        <v>18.43</v>
      </c>
      <c r="N169" s="19">
        <v>17.920000000000002</v>
      </c>
      <c r="Y169" s="4" t="str">
        <f>Y160</f>
        <v>I</v>
      </c>
      <c r="Z169" s="4" t="str">
        <f>Y162</f>
        <v>II BAJO</v>
      </c>
      <c r="AA169" s="4">
        <f>ABS(Z160-Z162)</f>
        <v>4.1981481481481531</v>
      </c>
      <c r="AB169" s="4">
        <f>SQRT(AB165/AC165/HARMEAN(AA160,AA162))</f>
        <v>1.6291683004098936</v>
      </c>
      <c r="AC169" s="4">
        <f t="shared" ref="AC169:AC177" si="48">AA169/AB169</f>
        <v>2.5768658444262096</v>
      </c>
      <c r="AD169" s="4">
        <f t="shared" ref="AD169:AD177" si="49">AA169-AB169*AD$165</f>
        <v>-2.1757848462478151</v>
      </c>
      <c r="AE169" s="4">
        <f t="shared" ref="AE169:AE177" si="50">AA169+AB169*AD$165</f>
        <v>10.572081142544121</v>
      </c>
      <c r="AF169" s="4">
        <f>[1]!QDIST(AC169,COUNT($AA$160:$AA$164),AC$165)</f>
        <v>0.36537818594967753</v>
      </c>
      <c r="AG169" s="4">
        <f t="shared" ref="AG169:AG177" si="51">AB169*AD$165</f>
        <v>6.3739329943959682</v>
      </c>
      <c r="AH169" s="4">
        <f t="shared" ref="AH169:AH177" si="52">AA169*SQRT(AC$165/AB$165)</f>
        <v>0.49591806298167473</v>
      </c>
    </row>
    <row r="170" spans="1:34">
      <c r="A170" s="4">
        <v>4</v>
      </c>
      <c r="B170" s="4" t="s">
        <v>170</v>
      </c>
      <c r="C170" s="4">
        <v>31</v>
      </c>
      <c r="D170" s="5">
        <v>2</v>
      </c>
      <c r="E170" s="4">
        <f t="shared" ca="1" si="25"/>
        <v>66</v>
      </c>
      <c r="F170" s="4" t="s">
        <v>12</v>
      </c>
      <c r="G170" s="4">
        <v>38.19</v>
      </c>
      <c r="H170" s="4">
        <v>38.340000000000003</v>
      </c>
      <c r="Y170" s="4" t="str">
        <f>Y160</f>
        <v>I</v>
      </c>
      <c r="Z170" s="4" t="str">
        <f>Y163</f>
        <v>III ALTO</v>
      </c>
      <c r="AA170" s="4">
        <f>ABS(Z160-Z163)</f>
        <v>0.13666666666666671</v>
      </c>
      <c r="AB170" s="4">
        <f>SQRT(AB165/AC165/HARMEAN(AA160,AA163))</f>
        <v>1.6291683004098936</v>
      </c>
      <c r="AC170" s="4">
        <f t="shared" si="48"/>
        <v>8.38873839076551E-2</v>
      </c>
      <c r="AD170" s="4">
        <f t="shared" si="49"/>
        <v>-6.2372663277293015</v>
      </c>
      <c r="AE170" s="4">
        <f t="shared" si="50"/>
        <v>6.5105996610626349</v>
      </c>
      <c r="AF170" s="4">
        <f>[1]!QDIST(AC170,COUNT($AA$160:$AA$164),AC$165)</f>
        <v>0.99999715679936274</v>
      </c>
      <c r="AG170" s="4">
        <f t="shared" si="51"/>
        <v>6.3739329943959682</v>
      </c>
      <c r="AH170" s="4">
        <f t="shared" si="52"/>
        <v>1.6144134560232715E-2</v>
      </c>
    </row>
    <row r="171" spans="1:34">
      <c r="A171" s="4">
        <v>5</v>
      </c>
      <c r="B171" s="4" t="s">
        <v>172</v>
      </c>
      <c r="C171" s="4">
        <v>32</v>
      </c>
      <c r="D171" s="5">
        <v>2</v>
      </c>
      <c r="E171" s="4">
        <f t="shared" ca="1" si="25"/>
        <v>67</v>
      </c>
      <c r="F171" s="4" t="s">
        <v>12</v>
      </c>
      <c r="G171" s="4">
        <v>27.5</v>
      </c>
      <c r="H171" s="4">
        <v>35.549999999999997</v>
      </c>
      <c r="Y171" s="4" t="str">
        <f>Y160</f>
        <v>I</v>
      </c>
      <c r="Z171" s="4" t="str">
        <f>Y164</f>
        <v>III BAJO</v>
      </c>
      <c r="AA171" s="4">
        <f>ABS(Z160-Z164)</f>
        <v>3.2781481481481478</v>
      </c>
      <c r="AB171" s="4">
        <f>SQRT(AB165/AC165/HARMEAN(AA160,AA164))</f>
        <v>1.6291683004098936</v>
      </c>
      <c r="AC171" s="4">
        <f t="shared" si="48"/>
        <v>2.0121605283649187</v>
      </c>
      <c r="AD171" s="4">
        <f t="shared" si="49"/>
        <v>-3.0957848462478204</v>
      </c>
      <c r="AE171" s="4">
        <f t="shared" si="50"/>
        <v>9.652081142544116</v>
      </c>
      <c r="AF171" s="4">
        <f>[1]!QDIST(AC171,COUNT($AA$160:$AA$164),AC$165)</f>
        <v>0.61415095346808068</v>
      </c>
      <c r="AG171" s="4">
        <f t="shared" si="51"/>
        <v>6.3739329943959682</v>
      </c>
      <c r="AH171" s="4">
        <f t="shared" si="52"/>
        <v>0.38724047423474173</v>
      </c>
    </row>
    <row r="172" spans="1:34">
      <c r="A172" s="4">
        <v>6</v>
      </c>
      <c r="B172" s="4" t="s">
        <v>173</v>
      </c>
      <c r="C172" s="4">
        <v>33</v>
      </c>
      <c r="D172" s="5">
        <v>2</v>
      </c>
      <c r="E172" s="4">
        <f t="shared" ca="1" si="25"/>
        <v>37</v>
      </c>
      <c r="F172" s="4" t="s">
        <v>12</v>
      </c>
      <c r="G172" s="4">
        <v>24.88</v>
      </c>
      <c r="H172" s="4">
        <v>26.82</v>
      </c>
      <c r="Y172" s="4" t="str">
        <f>Y161</f>
        <v>II ALTO</v>
      </c>
      <c r="Z172" s="4" t="str">
        <f>Y162</f>
        <v>II BAJO</v>
      </c>
      <c r="AA172" s="4">
        <f>ABS(Z161-Z162)</f>
        <v>8.6733333333333213</v>
      </c>
      <c r="AB172" s="4">
        <f>SQRT(AB165/AC165/HARMEAN(AA161,AA162))</f>
        <v>1.6291683004098936</v>
      </c>
      <c r="AC172" s="4">
        <f t="shared" si="48"/>
        <v>5.3237798275053221</v>
      </c>
      <c r="AD172" s="4">
        <f t="shared" si="49"/>
        <v>2.2994003389373532</v>
      </c>
      <c r="AE172" s="4">
        <f t="shared" si="50"/>
        <v>15.04726632772929</v>
      </c>
      <c r="AF172" s="4">
        <f>[1]!QDIST(AC172,COUNT($AA$160:$AA$164),AC$165)</f>
        <v>2.3054000009138376E-3</v>
      </c>
      <c r="AG172" s="4">
        <f t="shared" si="51"/>
        <v>6.3739329943959682</v>
      </c>
      <c r="AH172" s="4">
        <f t="shared" si="52"/>
        <v>1.0245619055054989</v>
      </c>
    </row>
    <row r="173" spans="1:34">
      <c r="A173" s="4">
        <v>7</v>
      </c>
      <c r="B173" s="4" t="s">
        <v>174</v>
      </c>
      <c r="C173" s="4">
        <v>34</v>
      </c>
      <c r="D173" s="5">
        <v>2</v>
      </c>
      <c r="E173" s="4">
        <f t="shared" ca="1" si="25"/>
        <v>26</v>
      </c>
      <c r="F173" s="4" t="s">
        <v>12</v>
      </c>
      <c r="G173" s="4">
        <v>32.909999999999997</v>
      </c>
      <c r="H173" s="4">
        <v>18.079999999999998</v>
      </c>
      <c r="Y173" s="4" t="str">
        <f>Y161</f>
        <v>II ALTO</v>
      </c>
      <c r="Z173" s="4" t="str">
        <f>Y163</f>
        <v>III ALTO</v>
      </c>
      <c r="AA173" s="4">
        <f>ABS(Z161-Z163)</f>
        <v>13.008148148148141</v>
      </c>
      <c r="AB173" s="4">
        <f>SQRT(AB165/AC165/HARMEAN(AA161,AA163))</f>
        <v>1.6291683004098936</v>
      </c>
      <c r="AC173" s="4">
        <f t="shared" si="48"/>
        <v>7.9845330558391865</v>
      </c>
      <c r="AD173" s="4">
        <f t="shared" si="49"/>
        <v>6.634215153752173</v>
      </c>
      <c r="AE173" s="4">
        <f t="shared" si="50"/>
        <v>19.382081142544109</v>
      </c>
      <c r="AF173" s="4">
        <f>[1]!QDIST(AC173,COUNT($AA$160:$AA$164),AC$165)</f>
        <v>9.7692143696814782E-7</v>
      </c>
      <c r="AG173" s="4">
        <f t="shared" si="51"/>
        <v>6.3739329943959682</v>
      </c>
      <c r="AH173" s="4">
        <f t="shared" si="52"/>
        <v>1.5366241030474064</v>
      </c>
    </row>
    <row r="174" spans="1:34">
      <c r="A174" s="4">
        <v>8</v>
      </c>
      <c r="B174" s="4" t="s">
        <v>177</v>
      </c>
      <c r="C174" s="4">
        <v>35</v>
      </c>
      <c r="D174" s="5">
        <v>2</v>
      </c>
      <c r="E174" s="4">
        <f t="shared" ca="1" si="25"/>
        <v>22</v>
      </c>
      <c r="F174" s="4" t="s">
        <v>12</v>
      </c>
      <c r="G174" s="4">
        <v>16.96</v>
      </c>
      <c r="H174" s="4">
        <v>37.770000000000003</v>
      </c>
      <c r="Y174" s="4" t="str">
        <f>Y161</f>
        <v>II ALTO</v>
      </c>
      <c r="Z174" s="4" t="str">
        <f>Y164</f>
        <v>III BAJO</v>
      </c>
      <c r="AA174" s="4">
        <f>ABS(Z161-Z164)</f>
        <v>9.5933333333333266</v>
      </c>
      <c r="AB174" s="4">
        <f>SQRT(AB165/AC165/HARMEAN(AA161,AA164))</f>
        <v>1.6291683004098936</v>
      </c>
      <c r="AC174" s="4">
        <f t="shared" si="48"/>
        <v>5.888485143566613</v>
      </c>
      <c r="AD174" s="4">
        <f t="shared" si="49"/>
        <v>3.2194003389373584</v>
      </c>
      <c r="AE174" s="4">
        <f t="shared" si="50"/>
        <v>15.967266327729295</v>
      </c>
      <c r="AF174" s="4">
        <f>[1]!QDIST(AC174,COUNT($AA$160:$AA$164),AC$165)</f>
        <v>5.3570370387634458E-4</v>
      </c>
      <c r="AG174" s="4">
        <f t="shared" si="51"/>
        <v>6.3739329943959682</v>
      </c>
      <c r="AH174" s="4">
        <f t="shared" si="52"/>
        <v>1.133239494252432</v>
      </c>
    </row>
    <row r="175" spans="1:34">
      <c r="A175" s="4">
        <v>9</v>
      </c>
      <c r="B175" s="4" t="s">
        <v>178</v>
      </c>
      <c r="C175" s="4">
        <v>36</v>
      </c>
      <c r="D175" s="5">
        <v>2</v>
      </c>
      <c r="E175" s="4">
        <f t="shared" ca="1" si="25"/>
        <v>57</v>
      </c>
      <c r="F175" s="4" t="s">
        <v>12</v>
      </c>
      <c r="G175" s="4">
        <v>27.09</v>
      </c>
      <c r="H175" s="4">
        <v>47.48</v>
      </c>
      <c r="Y175" s="4" t="str">
        <f>Y162</f>
        <v>II BAJO</v>
      </c>
      <c r="Z175" s="4" t="str">
        <f>Y163</f>
        <v>III ALTO</v>
      </c>
      <c r="AA175" s="4">
        <f>ABS(Z162-Z163)</f>
        <v>4.3348148148148198</v>
      </c>
      <c r="AB175" s="4">
        <f>SQRT(AB165/AC165/HARMEAN(AA162,AA163))</f>
        <v>1.6291683004098936</v>
      </c>
      <c r="AC175" s="4">
        <f t="shared" si="48"/>
        <v>2.6607532283338649</v>
      </c>
      <c r="AD175" s="4">
        <f t="shared" si="49"/>
        <v>-2.0391181795811484</v>
      </c>
      <c r="AE175" s="4">
        <f t="shared" si="50"/>
        <v>10.708747809210788</v>
      </c>
      <c r="AF175" s="4">
        <f>[1]!QDIST(AC175,COUNT($AA$160:$AA$164),AC$165)</f>
        <v>0.33250070910751983</v>
      </c>
      <c r="AG175" s="4">
        <f t="shared" si="51"/>
        <v>6.3739329943959682</v>
      </c>
      <c r="AH175" s="4">
        <f t="shared" si="52"/>
        <v>0.51206219754190752</v>
      </c>
    </row>
    <row r="176" spans="1:34">
      <c r="A176" s="4">
        <v>10</v>
      </c>
      <c r="B176" s="4" t="s">
        <v>179</v>
      </c>
      <c r="C176" s="4">
        <v>37</v>
      </c>
      <c r="D176" s="5">
        <v>2</v>
      </c>
      <c r="E176" s="4">
        <f t="shared" ca="1" si="25"/>
        <v>46</v>
      </c>
      <c r="F176" s="4" t="s">
        <v>12</v>
      </c>
      <c r="G176" s="4">
        <v>53.56</v>
      </c>
      <c r="H176" s="4">
        <v>39.42</v>
      </c>
      <c r="Y176" s="4" t="str">
        <f>Y162</f>
        <v>II BAJO</v>
      </c>
      <c r="Z176" s="4" t="str">
        <f>Y164</f>
        <v>III BAJO</v>
      </c>
      <c r="AA176" s="4">
        <f>ABS(Z162-Z164)</f>
        <v>0.92000000000000526</v>
      </c>
      <c r="AB176" s="4">
        <f>SQRT(AB165/AC165/HARMEAN(AA162,AA164))</f>
        <v>1.6291683004098936</v>
      </c>
      <c r="AC176" s="4">
        <f t="shared" si="48"/>
        <v>0.56470531606129104</v>
      </c>
      <c r="AD176" s="4">
        <f t="shared" si="49"/>
        <v>-5.4539329943959629</v>
      </c>
      <c r="AE176" s="4">
        <f t="shared" si="50"/>
        <v>7.2939329943959734</v>
      </c>
      <c r="AF176" s="4">
        <f>[1]!QDIST(AC176,COUNT($AA$160:$AA$164),AC$165)</f>
        <v>0.9945805361449066</v>
      </c>
      <c r="AG176" s="4">
        <f t="shared" si="51"/>
        <v>6.3739329943959682</v>
      </c>
      <c r="AH176" s="4">
        <f t="shared" si="52"/>
        <v>0.10867758874693301</v>
      </c>
    </row>
    <row r="177" spans="1:34">
      <c r="A177" s="4">
        <v>11</v>
      </c>
      <c r="B177" s="4" t="s">
        <v>180</v>
      </c>
      <c r="C177" s="4">
        <v>38</v>
      </c>
      <c r="D177" s="5">
        <v>2</v>
      </c>
      <c r="E177" s="4">
        <f t="shared" ca="1" si="25"/>
        <v>46</v>
      </c>
      <c r="F177" s="4" t="s">
        <v>12</v>
      </c>
      <c r="G177" s="4">
        <v>42.08</v>
      </c>
      <c r="H177" s="4">
        <v>37.340000000000003</v>
      </c>
      <c r="Y177" s="4" t="str">
        <f>Y163</f>
        <v>III ALTO</v>
      </c>
      <c r="Z177" s="4" t="str">
        <f>Y164</f>
        <v>III BAJO</v>
      </c>
      <c r="AA177" s="4">
        <f>ABS(Z163-Z164)</f>
        <v>3.4148148148148145</v>
      </c>
      <c r="AB177" s="4">
        <f>SQRT(AB165/AC165/HARMEAN(AA163,AA164))</f>
        <v>1.6291683004098936</v>
      </c>
      <c r="AC177" s="4">
        <f t="shared" si="48"/>
        <v>2.0960479122725735</v>
      </c>
      <c r="AD177" s="4">
        <f t="shared" si="49"/>
        <v>-2.9591181795811536</v>
      </c>
      <c r="AE177" s="4">
        <f t="shared" si="50"/>
        <v>9.7887478092107827</v>
      </c>
      <c r="AF177" s="4">
        <f>[1]!QDIST(AC177,COUNT($AA$160:$AA$164),AC$165)</f>
        <v>0.57590401215496578</v>
      </c>
      <c r="AG177" s="4">
        <f t="shared" si="51"/>
        <v>6.3739329943959682</v>
      </c>
      <c r="AH177" s="4">
        <f t="shared" si="52"/>
        <v>0.40338460879497445</v>
      </c>
    </row>
    <row r="178" spans="1:34">
      <c r="A178" s="4">
        <v>12</v>
      </c>
      <c r="B178" s="4" t="s">
        <v>182</v>
      </c>
      <c r="C178" s="4">
        <v>39</v>
      </c>
      <c r="D178" s="5">
        <v>2</v>
      </c>
      <c r="E178" s="4">
        <f t="shared" ca="1" si="25"/>
        <v>55</v>
      </c>
      <c r="F178" s="4" t="s">
        <v>12</v>
      </c>
      <c r="G178" s="4">
        <v>31.79</v>
      </c>
      <c r="H178" s="4">
        <v>20.89</v>
      </c>
    </row>
    <row r="179" spans="1:34">
      <c r="A179" s="4">
        <v>13</v>
      </c>
      <c r="B179" s="4" t="s">
        <v>183</v>
      </c>
      <c r="C179" s="4">
        <v>40</v>
      </c>
      <c r="D179" s="5">
        <v>2</v>
      </c>
      <c r="E179" s="4">
        <f t="shared" ca="1" si="25"/>
        <v>54</v>
      </c>
      <c r="F179" s="4" t="s">
        <v>12</v>
      </c>
      <c r="G179" s="4">
        <v>35.869999999999997</v>
      </c>
      <c r="H179" s="4">
        <v>33.75</v>
      </c>
    </row>
    <row r="180" spans="1:34">
      <c r="A180" s="4">
        <v>14</v>
      </c>
      <c r="B180" s="4" t="s">
        <v>184</v>
      </c>
      <c r="C180" s="4">
        <v>41</v>
      </c>
      <c r="D180" s="5">
        <v>2</v>
      </c>
      <c r="E180" s="4">
        <f t="shared" ca="1" si="25"/>
        <v>57</v>
      </c>
      <c r="F180" s="4" t="s">
        <v>12</v>
      </c>
      <c r="G180" s="4">
        <v>20.89</v>
      </c>
      <c r="H180" s="4">
        <v>21.79</v>
      </c>
    </row>
    <row r="181" spans="1:34">
      <c r="A181" s="4">
        <v>15</v>
      </c>
      <c r="B181" s="4" t="s">
        <v>185</v>
      </c>
      <c r="C181" s="4">
        <v>42</v>
      </c>
      <c r="D181" s="5">
        <v>2</v>
      </c>
      <c r="E181" s="4">
        <f t="shared" ca="1" si="25"/>
        <v>27</v>
      </c>
      <c r="F181" s="4" t="s">
        <v>12</v>
      </c>
      <c r="G181" s="4">
        <v>21.8</v>
      </c>
      <c r="H181" s="4">
        <v>23.85</v>
      </c>
    </row>
    <row r="182" spans="1:34">
      <c r="A182" s="4">
        <v>16</v>
      </c>
      <c r="B182" s="4" t="s">
        <v>186</v>
      </c>
      <c r="C182" s="4">
        <v>43</v>
      </c>
      <c r="D182" s="5">
        <v>2</v>
      </c>
      <c r="E182" s="4">
        <f t="shared" ca="1" si="25"/>
        <v>59</v>
      </c>
      <c r="F182" s="4" t="s">
        <v>12</v>
      </c>
      <c r="G182" s="4">
        <v>34.58</v>
      </c>
      <c r="H182" s="4">
        <v>21.24</v>
      </c>
    </row>
    <row r="183" spans="1:34">
      <c r="A183" s="4">
        <v>17</v>
      </c>
      <c r="B183" s="4" t="s">
        <v>187</v>
      </c>
      <c r="C183" s="4">
        <v>44</v>
      </c>
      <c r="D183" s="5">
        <v>1</v>
      </c>
      <c r="E183" s="4">
        <f t="shared" ca="1" si="25"/>
        <v>47</v>
      </c>
      <c r="F183" s="4" t="s">
        <v>12</v>
      </c>
      <c r="G183" s="4">
        <v>28.17</v>
      </c>
      <c r="H183" s="4">
        <v>32.19</v>
      </c>
    </row>
    <row r="184" spans="1:34">
      <c r="A184" s="4">
        <v>18</v>
      </c>
      <c r="B184" s="4" t="s">
        <v>188</v>
      </c>
      <c r="C184" s="4">
        <v>45</v>
      </c>
      <c r="D184" s="5">
        <v>1</v>
      </c>
      <c r="E184" s="4">
        <f t="shared" ca="1" si="25"/>
        <v>50</v>
      </c>
      <c r="F184" s="4" t="s">
        <v>12</v>
      </c>
      <c r="G184" s="4">
        <v>22.02</v>
      </c>
      <c r="H184" s="4">
        <v>22.66</v>
      </c>
    </row>
    <row r="185" spans="1:34">
      <c r="A185" s="4">
        <v>19</v>
      </c>
      <c r="B185" s="4" t="s">
        <v>189</v>
      </c>
      <c r="C185" s="4">
        <v>46</v>
      </c>
      <c r="D185" s="5">
        <v>2</v>
      </c>
      <c r="E185" s="4">
        <f t="shared" ca="1" si="25"/>
        <v>23</v>
      </c>
      <c r="F185" s="4" t="s">
        <v>12</v>
      </c>
      <c r="G185" s="4">
        <v>10.89</v>
      </c>
      <c r="H185" s="4">
        <v>21.84</v>
      </c>
    </row>
    <row r="186" spans="1:34">
      <c r="A186" s="4">
        <v>20</v>
      </c>
      <c r="B186" s="4" t="s">
        <v>190</v>
      </c>
      <c r="C186" s="4">
        <v>47</v>
      </c>
      <c r="D186" s="5">
        <v>1</v>
      </c>
      <c r="E186" s="4">
        <f t="shared" ca="1" si="25"/>
        <v>58</v>
      </c>
      <c r="F186" s="4" t="s">
        <v>12</v>
      </c>
      <c r="G186" s="4">
        <v>30.78</v>
      </c>
      <c r="H186" s="4">
        <v>28.89</v>
      </c>
    </row>
    <row r="187" spans="1:34">
      <c r="A187" s="4">
        <v>21</v>
      </c>
      <c r="B187" s="4" t="s">
        <v>191</v>
      </c>
      <c r="C187" s="4">
        <v>48</v>
      </c>
      <c r="D187" s="5">
        <v>1</v>
      </c>
      <c r="E187" s="4">
        <f t="shared" ca="1" si="25"/>
        <v>20</v>
      </c>
      <c r="F187" s="4" t="s">
        <v>12</v>
      </c>
      <c r="G187" s="4">
        <v>32.479999999999997</v>
      </c>
      <c r="H187" s="4">
        <v>33.89</v>
      </c>
    </row>
    <row r="188" spans="1:34">
      <c r="A188" s="4">
        <v>22</v>
      </c>
      <c r="B188" s="4" t="s">
        <v>192</v>
      </c>
      <c r="C188" s="4">
        <v>49</v>
      </c>
      <c r="D188" s="5">
        <v>1</v>
      </c>
      <c r="E188" s="4">
        <f t="shared" ca="1" si="25"/>
        <v>42</v>
      </c>
      <c r="F188" s="4" t="s">
        <v>12</v>
      </c>
      <c r="G188" s="4">
        <v>49.96</v>
      </c>
      <c r="H188" s="4">
        <v>36.15</v>
      </c>
    </row>
    <row r="189" spans="1:34">
      <c r="A189" s="4">
        <v>23</v>
      </c>
      <c r="B189" s="4" t="s">
        <v>193</v>
      </c>
      <c r="C189" s="4">
        <v>50</v>
      </c>
      <c r="D189" s="5">
        <v>1</v>
      </c>
      <c r="E189" s="4">
        <f t="shared" ca="1" si="25"/>
        <v>66</v>
      </c>
      <c r="F189" s="4" t="s">
        <v>12</v>
      </c>
      <c r="G189" s="4">
        <v>38.65</v>
      </c>
      <c r="H189" s="4">
        <v>39.549999999999997</v>
      </c>
    </row>
    <row r="190" spans="1:34">
      <c r="A190" s="4">
        <v>24</v>
      </c>
      <c r="B190" s="4" t="s">
        <v>194</v>
      </c>
      <c r="C190" s="4">
        <v>51</v>
      </c>
      <c r="D190" s="5">
        <v>1</v>
      </c>
      <c r="E190" s="4">
        <f t="shared" ca="1" si="25"/>
        <v>46</v>
      </c>
      <c r="F190" s="4" t="s">
        <v>12</v>
      </c>
      <c r="G190" s="4">
        <v>26.56</v>
      </c>
      <c r="H190" s="4">
        <v>25.81</v>
      </c>
    </row>
    <row r="191" spans="1:34">
      <c r="A191" s="4">
        <v>25</v>
      </c>
      <c r="B191" s="4" t="s">
        <v>195</v>
      </c>
      <c r="C191" s="4">
        <v>52</v>
      </c>
      <c r="D191" s="5">
        <v>1</v>
      </c>
      <c r="E191" s="4">
        <f t="shared" ca="1" si="25"/>
        <v>55</v>
      </c>
      <c r="F191" s="4" t="s">
        <v>12</v>
      </c>
      <c r="G191" s="4">
        <v>20.55</v>
      </c>
      <c r="H191" s="4">
        <v>27.64</v>
      </c>
    </row>
    <row r="192" spans="1:34">
      <c r="A192" s="4">
        <v>26</v>
      </c>
      <c r="B192" s="4" t="s">
        <v>196</v>
      </c>
      <c r="C192" s="4">
        <v>53</v>
      </c>
      <c r="D192" s="5">
        <v>1</v>
      </c>
      <c r="E192" s="4">
        <f t="shared" ca="1" si="25"/>
        <v>53</v>
      </c>
      <c r="F192" s="4" t="s">
        <v>12</v>
      </c>
      <c r="G192" s="4">
        <v>23.05</v>
      </c>
      <c r="H192" s="4">
        <v>29.49</v>
      </c>
    </row>
    <row r="193" spans="1:8">
      <c r="A193" s="4">
        <v>27</v>
      </c>
      <c r="B193" s="4" t="s">
        <v>197</v>
      </c>
      <c r="C193" s="4">
        <v>54</v>
      </c>
      <c r="D193" s="5">
        <v>1</v>
      </c>
      <c r="E193" s="4">
        <f t="shared" ca="1" si="25"/>
        <v>68</v>
      </c>
      <c r="F193" s="4" t="s">
        <v>12</v>
      </c>
      <c r="G193" s="4">
        <v>31.49</v>
      </c>
      <c r="H193" s="4">
        <v>24.58</v>
      </c>
    </row>
    <row r="194" spans="1:8">
      <c r="A194" s="4">
        <v>1</v>
      </c>
      <c r="B194" s="4" t="s">
        <v>198</v>
      </c>
      <c r="C194" s="4">
        <v>55</v>
      </c>
      <c r="D194" s="5">
        <v>2</v>
      </c>
      <c r="E194" s="4">
        <f t="shared" ca="1" si="25"/>
        <v>49</v>
      </c>
      <c r="F194" s="4" t="s">
        <v>13</v>
      </c>
      <c r="G194" s="4">
        <v>27.17</v>
      </c>
      <c r="H194" s="4">
        <v>26.5</v>
      </c>
    </row>
    <row r="195" spans="1:8">
      <c r="A195" s="4">
        <v>2</v>
      </c>
      <c r="B195" s="4" t="s">
        <v>199</v>
      </c>
      <c r="C195" s="4">
        <v>56</v>
      </c>
      <c r="D195" s="5">
        <v>1</v>
      </c>
      <c r="E195" s="4">
        <f t="shared" ca="1" si="25"/>
        <v>59</v>
      </c>
      <c r="F195" s="4" t="s">
        <v>13</v>
      </c>
      <c r="G195" s="4">
        <v>27.29</v>
      </c>
      <c r="H195" s="4">
        <v>27.2</v>
      </c>
    </row>
    <row r="196" spans="1:8">
      <c r="A196" s="4">
        <v>3</v>
      </c>
      <c r="B196" s="4" t="s">
        <v>200</v>
      </c>
      <c r="C196" s="4">
        <v>57</v>
      </c>
      <c r="D196" s="5">
        <v>1</v>
      </c>
      <c r="E196" s="4">
        <f t="shared" ca="1" si="25"/>
        <v>53</v>
      </c>
      <c r="F196" s="4" t="s">
        <v>13</v>
      </c>
      <c r="G196" s="4">
        <v>22.16</v>
      </c>
      <c r="H196" s="4">
        <v>24.89</v>
      </c>
    </row>
    <row r="197" spans="1:8">
      <c r="A197" s="4">
        <v>4</v>
      </c>
      <c r="B197" s="4" t="s">
        <v>201</v>
      </c>
      <c r="C197" s="4">
        <v>58</v>
      </c>
      <c r="D197" s="5">
        <v>2</v>
      </c>
      <c r="E197" s="4">
        <f t="shared" ca="1" si="25"/>
        <v>18</v>
      </c>
      <c r="F197" s="4" t="s">
        <v>13</v>
      </c>
      <c r="G197" s="4">
        <v>19.149999999999999</v>
      </c>
      <c r="H197" s="4">
        <v>17.87</v>
      </c>
    </row>
    <row r="198" spans="1:8">
      <c r="A198" s="4">
        <v>5</v>
      </c>
      <c r="B198" s="4" t="s">
        <v>202</v>
      </c>
      <c r="C198" s="4">
        <v>59</v>
      </c>
      <c r="D198" s="5">
        <v>2</v>
      </c>
      <c r="E198" s="4">
        <f t="shared" ca="1" si="25"/>
        <v>21</v>
      </c>
      <c r="F198" s="4" t="s">
        <v>13</v>
      </c>
      <c r="G198" s="4">
        <v>27.94</v>
      </c>
      <c r="H198" s="4">
        <v>9.82</v>
      </c>
    </row>
    <row r="199" spans="1:8">
      <c r="A199" s="4">
        <v>6</v>
      </c>
      <c r="B199" s="4" t="s">
        <v>203</v>
      </c>
      <c r="C199" s="4">
        <v>60</v>
      </c>
      <c r="D199" s="5">
        <v>1</v>
      </c>
      <c r="E199" s="4">
        <f t="shared" ca="1" si="25"/>
        <v>33</v>
      </c>
      <c r="F199" s="4" t="s">
        <v>13</v>
      </c>
      <c r="G199" s="4">
        <v>26.18</v>
      </c>
      <c r="H199" s="4">
        <v>34.450000000000003</v>
      </c>
    </row>
    <row r="200" spans="1:8">
      <c r="A200" s="4">
        <v>7</v>
      </c>
      <c r="B200" s="4" t="s">
        <v>203</v>
      </c>
      <c r="C200" s="4">
        <v>61</v>
      </c>
      <c r="D200" s="5">
        <v>1</v>
      </c>
      <c r="E200" s="4">
        <f t="shared" ca="1" si="25"/>
        <v>29</v>
      </c>
      <c r="F200" s="4" t="s">
        <v>13</v>
      </c>
      <c r="G200" s="4">
        <v>6.01</v>
      </c>
      <c r="H200" s="4">
        <v>4.2699999999999996</v>
      </c>
    </row>
    <row r="201" spans="1:8">
      <c r="A201" s="4">
        <v>8</v>
      </c>
      <c r="B201" s="4" t="s">
        <v>204</v>
      </c>
      <c r="C201" s="4">
        <v>62</v>
      </c>
      <c r="D201" s="5">
        <v>1</v>
      </c>
      <c r="E201" s="4">
        <f t="shared" ca="1" si="25"/>
        <v>62</v>
      </c>
      <c r="F201" s="4" t="s">
        <v>13</v>
      </c>
      <c r="G201" s="4">
        <v>23.57</v>
      </c>
      <c r="H201" s="4">
        <v>16.78</v>
      </c>
    </row>
    <row r="202" spans="1:8">
      <c r="A202" s="4">
        <v>9</v>
      </c>
      <c r="B202" s="4" t="s">
        <v>205</v>
      </c>
      <c r="C202" s="4">
        <v>63</v>
      </c>
      <c r="D202" s="5">
        <v>1</v>
      </c>
      <c r="E202" s="4">
        <f t="shared" ca="1" si="25"/>
        <v>20</v>
      </c>
      <c r="F202" s="4" t="s">
        <v>13</v>
      </c>
      <c r="G202" s="4">
        <v>24.22</v>
      </c>
      <c r="H202" s="4">
        <v>25.34</v>
      </c>
    </row>
    <row r="203" spans="1:8">
      <c r="A203" s="4">
        <v>10</v>
      </c>
      <c r="B203" s="4" t="s">
        <v>206</v>
      </c>
      <c r="C203" s="4">
        <v>64</v>
      </c>
      <c r="D203" s="5">
        <v>1</v>
      </c>
      <c r="E203" s="4">
        <f t="shared" ca="1" si="25"/>
        <v>29</v>
      </c>
      <c r="F203" s="4" t="s">
        <v>13</v>
      </c>
      <c r="G203" s="4">
        <v>22.74</v>
      </c>
      <c r="H203" s="4">
        <v>26.96</v>
      </c>
    </row>
    <row r="204" spans="1:8">
      <c r="A204" s="4">
        <v>11</v>
      </c>
      <c r="B204" s="4" t="s">
        <v>207</v>
      </c>
      <c r="C204" s="4">
        <v>65</v>
      </c>
      <c r="D204" s="5">
        <v>1</v>
      </c>
      <c r="E204" s="4">
        <f t="shared" ca="1" si="25"/>
        <v>42</v>
      </c>
      <c r="F204" s="4" t="s">
        <v>13</v>
      </c>
      <c r="G204" s="4">
        <v>26.96</v>
      </c>
      <c r="H204" s="4">
        <v>22.74</v>
      </c>
    </row>
    <row r="205" spans="1:8">
      <c r="A205" s="4">
        <v>12</v>
      </c>
      <c r="B205" s="4" t="s">
        <v>208</v>
      </c>
      <c r="C205" s="4">
        <v>66</v>
      </c>
      <c r="D205" s="5">
        <v>1</v>
      </c>
      <c r="E205" s="4">
        <f t="shared" ref="E205:E268" ca="1" si="53">RANDBETWEEN(18,70)</f>
        <v>23</v>
      </c>
      <c r="F205" s="4" t="s">
        <v>13</v>
      </c>
      <c r="G205" s="4">
        <v>36.29</v>
      </c>
      <c r="H205" s="4">
        <v>28.43</v>
      </c>
    </row>
    <row r="206" spans="1:8">
      <c r="A206" s="4">
        <v>13</v>
      </c>
      <c r="B206" s="4" t="s">
        <v>209</v>
      </c>
      <c r="C206" s="4">
        <v>67</v>
      </c>
      <c r="D206" s="5">
        <v>2</v>
      </c>
      <c r="E206" s="4">
        <f t="shared" ca="1" si="53"/>
        <v>51</v>
      </c>
      <c r="F206" s="4" t="s">
        <v>13</v>
      </c>
      <c r="G206" s="4">
        <v>28.43</v>
      </c>
      <c r="H206" s="4">
        <v>36.29</v>
      </c>
    </row>
    <row r="207" spans="1:8">
      <c r="A207" s="4">
        <v>14</v>
      </c>
      <c r="B207" s="4" t="s">
        <v>210</v>
      </c>
      <c r="C207" s="4">
        <v>68</v>
      </c>
      <c r="D207" s="5">
        <v>1</v>
      </c>
      <c r="E207" s="4">
        <f t="shared" ca="1" si="53"/>
        <v>56</v>
      </c>
      <c r="F207" s="4" t="s">
        <v>13</v>
      </c>
      <c r="G207" s="4">
        <v>16.600000000000001</v>
      </c>
      <c r="H207" s="4">
        <v>22.83</v>
      </c>
    </row>
    <row r="208" spans="1:8">
      <c r="A208" s="4">
        <v>15</v>
      </c>
      <c r="B208" s="4" t="s">
        <v>211</v>
      </c>
      <c r="C208" s="4">
        <v>69</v>
      </c>
      <c r="D208" s="5">
        <v>2</v>
      </c>
      <c r="E208" s="4">
        <f t="shared" ca="1" si="53"/>
        <v>54</v>
      </c>
      <c r="F208" s="4" t="s">
        <v>13</v>
      </c>
      <c r="G208" s="4">
        <v>3.23</v>
      </c>
      <c r="H208" s="4">
        <v>20.350000000000001</v>
      </c>
    </row>
    <row r="209" spans="1:8">
      <c r="A209" s="4">
        <v>16</v>
      </c>
      <c r="B209" s="4" t="s">
        <v>212</v>
      </c>
      <c r="C209" s="4">
        <v>70</v>
      </c>
      <c r="D209" s="5">
        <v>1</v>
      </c>
      <c r="E209" s="4">
        <f t="shared" ca="1" si="53"/>
        <v>29</v>
      </c>
      <c r="F209" s="4" t="s">
        <v>13</v>
      </c>
      <c r="G209" s="4">
        <v>17.350000000000001</v>
      </c>
      <c r="H209" s="4">
        <v>15.67</v>
      </c>
    </row>
    <row r="210" spans="1:8">
      <c r="A210" s="4">
        <v>17</v>
      </c>
      <c r="B210" s="4" t="s">
        <v>213</v>
      </c>
      <c r="C210" s="4">
        <v>71</v>
      </c>
      <c r="D210" s="5">
        <v>2</v>
      </c>
      <c r="E210" s="4">
        <f t="shared" ca="1" si="53"/>
        <v>20</v>
      </c>
      <c r="F210" s="4" t="s">
        <v>13</v>
      </c>
      <c r="G210" s="4">
        <v>3.5</v>
      </c>
      <c r="H210" s="4">
        <v>7.96</v>
      </c>
    </row>
    <row r="211" spans="1:8">
      <c r="A211" s="4">
        <v>18</v>
      </c>
      <c r="B211" s="4" t="s">
        <v>214</v>
      </c>
      <c r="C211" s="4">
        <v>72</v>
      </c>
      <c r="D211" s="5">
        <v>1</v>
      </c>
      <c r="E211" s="4">
        <f t="shared" ca="1" si="53"/>
        <v>24</v>
      </c>
      <c r="F211" s="4" t="s">
        <v>13</v>
      </c>
      <c r="G211" s="4">
        <v>21.79</v>
      </c>
      <c r="H211" s="4">
        <v>22.96</v>
      </c>
    </row>
    <row r="212" spans="1:8">
      <c r="A212" s="4">
        <v>19</v>
      </c>
      <c r="B212" s="4" t="s">
        <v>215</v>
      </c>
      <c r="C212" s="4">
        <v>73</v>
      </c>
      <c r="D212" s="5">
        <v>2</v>
      </c>
      <c r="E212" s="4">
        <f t="shared" ca="1" si="53"/>
        <v>65</v>
      </c>
      <c r="F212" s="4" t="s">
        <v>13</v>
      </c>
      <c r="G212" s="4">
        <v>27.89</v>
      </c>
      <c r="H212" s="4">
        <v>27.89</v>
      </c>
    </row>
    <row r="213" spans="1:8">
      <c r="A213" s="4">
        <v>20</v>
      </c>
      <c r="B213" s="4" t="s">
        <v>216</v>
      </c>
      <c r="C213" s="4">
        <v>74</v>
      </c>
      <c r="D213" s="5">
        <v>2</v>
      </c>
      <c r="E213" s="4">
        <f t="shared" ca="1" si="53"/>
        <v>31</v>
      </c>
      <c r="F213" s="4" t="s">
        <v>13</v>
      </c>
      <c r="G213" s="4">
        <v>2.29</v>
      </c>
      <c r="H213" s="4">
        <v>16.25</v>
      </c>
    </row>
    <row r="214" spans="1:8">
      <c r="A214" s="4">
        <v>21</v>
      </c>
      <c r="B214" s="4" t="s">
        <v>217</v>
      </c>
      <c r="C214" s="4">
        <v>75</v>
      </c>
      <c r="D214" s="5">
        <v>2</v>
      </c>
      <c r="E214" s="4">
        <f t="shared" ca="1" si="53"/>
        <v>50</v>
      </c>
      <c r="F214" s="4" t="s">
        <v>13</v>
      </c>
      <c r="G214" s="4">
        <v>29.05</v>
      </c>
      <c r="H214" s="4">
        <v>26.19</v>
      </c>
    </row>
    <row r="215" spans="1:8">
      <c r="A215" s="4">
        <v>22</v>
      </c>
      <c r="B215" s="4" t="s">
        <v>218</v>
      </c>
      <c r="C215" s="4">
        <v>76</v>
      </c>
      <c r="D215" s="5">
        <v>1</v>
      </c>
      <c r="E215" s="4">
        <f t="shared" ca="1" si="53"/>
        <v>56</v>
      </c>
      <c r="F215" s="4" t="s">
        <v>13</v>
      </c>
      <c r="G215" s="4">
        <v>31.71</v>
      </c>
      <c r="H215" s="4">
        <v>40.17</v>
      </c>
    </row>
    <row r="216" spans="1:8">
      <c r="A216" s="4">
        <v>23</v>
      </c>
      <c r="B216" s="4" t="s">
        <v>219</v>
      </c>
      <c r="C216" s="4">
        <v>77</v>
      </c>
      <c r="D216" s="5">
        <v>1</v>
      </c>
      <c r="E216" s="4">
        <f t="shared" ca="1" si="53"/>
        <v>50</v>
      </c>
      <c r="F216" s="4" t="s">
        <v>13</v>
      </c>
      <c r="G216" s="4">
        <v>20.43</v>
      </c>
      <c r="H216" s="4">
        <v>26.55</v>
      </c>
    </row>
    <row r="217" spans="1:8">
      <c r="A217" s="4">
        <v>24</v>
      </c>
      <c r="B217" s="4" t="s">
        <v>220</v>
      </c>
      <c r="C217" s="4">
        <v>78</v>
      </c>
      <c r="D217" s="5">
        <v>1</v>
      </c>
      <c r="E217" s="4">
        <f t="shared" ca="1" si="53"/>
        <v>31</v>
      </c>
      <c r="F217" s="4" t="s">
        <v>13</v>
      </c>
      <c r="G217" s="4">
        <v>21.31</v>
      </c>
      <c r="H217" s="4">
        <v>23.54</v>
      </c>
    </row>
    <row r="218" spans="1:8">
      <c r="A218" s="4">
        <v>25</v>
      </c>
      <c r="B218" s="4" t="s">
        <v>221</v>
      </c>
      <c r="C218" s="4">
        <v>79</v>
      </c>
      <c r="D218" s="5">
        <v>2</v>
      </c>
      <c r="E218" s="4">
        <f t="shared" ca="1" si="53"/>
        <v>58</v>
      </c>
      <c r="F218" s="4" t="s">
        <v>13</v>
      </c>
      <c r="G218" s="4">
        <v>20.55</v>
      </c>
      <c r="H218" s="4">
        <v>23.19</v>
      </c>
    </row>
    <row r="219" spans="1:8">
      <c r="A219" s="4">
        <v>26</v>
      </c>
      <c r="B219" s="4" t="s">
        <v>222</v>
      </c>
      <c r="C219" s="4">
        <v>80</v>
      </c>
      <c r="D219" s="5">
        <v>1</v>
      </c>
      <c r="E219" s="4">
        <f t="shared" ca="1" si="53"/>
        <v>42</v>
      </c>
      <c r="F219" s="4" t="s">
        <v>13</v>
      </c>
      <c r="G219" s="4">
        <v>23.85</v>
      </c>
      <c r="H219" s="4">
        <v>28.43</v>
      </c>
    </row>
    <row r="220" spans="1:8">
      <c r="A220" s="4">
        <v>27</v>
      </c>
      <c r="B220" s="4" t="s">
        <v>223</v>
      </c>
      <c r="C220" s="4">
        <v>81</v>
      </c>
      <c r="D220" s="5">
        <v>1</v>
      </c>
      <c r="E220" s="4">
        <f t="shared" ca="1" si="53"/>
        <v>68</v>
      </c>
      <c r="F220" s="4" t="s">
        <v>13</v>
      </c>
      <c r="G220" s="4">
        <v>27.59</v>
      </c>
      <c r="H220" s="4">
        <v>30.61</v>
      </c>
    </row>
    <row r="221" spans="1:8">
      <c r="A221" s="4">
        <v>1</v>
      </c>
      <c r="B221" s="4" t="s">
        <v>224</v>
      </c>
      <c r="C221" s="4">
        <v>82</v>
      </c>
      <c r="D221" s="5">
        <v>1</v>
      </c>
      <c r="E221" s="4">
        <f t="shared" ca="1" si="53"/>
        <v>39</v>
      </c>
      <c r="F221" s="4" t="s">
        <v>14</v>
      </c>
      <c r="G221" s="4">
        <v>16.07</v>
      </c>
      <c r="H221" s="4">
        <v>16.5</v>
      </c>
    </row>
    <row r="222" spans="1:8">
      <c r="A222" s="4">
        <v>2</v>
      </c>
      <c r="B222" s="4" t="s">
        <v>225</v>
      </c>
      <c r="C222" s="4">
        <v>83</v>
      </c>
      <c r="D222" s="5">
        <v>1</v>
      </c>
      <c r="E222" s="4">
        <f t="shared" ca="1" si="53"/>
        <v>43</v>
      </c>
      <c r="F222" s="4" t="s">
        <v>14</v>
      </c>
      <c r="G222" s="4">
        <v>39.340000000000003</v>
      </c>
      <c r="H222" s="4">
        <v>31.42</v>
      </c>
    </row>
    <row r="223" spans="1:8">
      <c r="A223" s="4">
        <v>3</v>
      </c>
      <c r="B223" s="4" t="s">
        <v>226</v>
      </c>
      <c r="C223" s="4">
        <v>84</v>
      </c>
      <c r="D223" s="5">
        <v>2</v>
      </c>
      <c r="E223" s="4">
        <f t="shared" ca="1" si="53"/>
        <v>49</v>
      </c>
      <c r="F223" s="4" t="s">
        <v>14</v>
      </c>
      <c r="G223" s="4">
        <v>16.600000000000001</v>
      </c>
      <c r="H223" s="4">
        <v>13.53</v>
      </c>
    </row>
    <row r="224" spans="1:8">
      <c r="A224" s="4">
        <v>4</v>
      </c>
      <c r="B224" s="4" t="s">
        <v>227</v>
      </c>
      <c r="C224" s="4">
        <v>85</v>
      </c>
      <c r="D224" s="5">
        <v>1</v>
      </c>
      <c r="E224" s="4">
        <f t="shared" ca="1" si="53"/>
        <v>22</v>
      </c>
      <c r="F224" s="4" t="s">
        <v>14</v>
      </c>
      <c r="G224" s="4">
        <v>16.04</v>
      </c>
      <c r="H224" s="4">
        <v>16.62</v>
      </c>
    </row>
    <row r="225" spans="1:8">
      <c r="A225" s="4">
        <v>5</v>
      </c>
      <c r="B225" s="4" t="s">
        <v>228</v>
      </c>
      <c r="C225" s="4">
        <v>86</v>
      </c>
      <c r="D225" s="5">
        <v>1</v>
      </c>
      <c r="E225" s="4">
        <f t="shared" ca="1" si="53"/>
        <v>55</v>
      </c>
      <c r="F225" s="4" t="s">
        <v>14</v>
      </c>
      <c r="G225" s="4">
        <v>26.16</v>
      </c>
      <c r="H225" s="4">
        <v>24.05</v>
      </c>
    </row>
    <row r="226" spans="1:8">
      <c r="A226" s="4">
        <v>6</v>
      </c>
      <c r="B226" s="4" t="s">
        <v>229</v>
      </c>
      <c r="C226" s="4">
        <v>87</v>
      </c>
      <c r="D226" s="5">
        <v>2</v>
      </c>
      <c r="E226" s="4">
        <f t="shared" ca="1" si="53"/>
        <v>40</v>
      </c>
      <c r="F226" s="4" t="s">
        <v>14</v>
      </c>
      <c r="G226" s="4">
        <v>7.9</v>
      </c>
      <c r="H226" s="4">
        <v>23.02</v>
      </c>
    </row>
    <row r="227" spans="1:8">
      <c r="A227" s="4">
        <v>7</v>
      </c>
      <c r="B227" s="4" t="s">
        <v>230</v>
      </c>
      <c r="C227" s="4">
        <v>88</v>
      </c>
      <c r="D227" s="5">
        <v>1</v>
      </c>
      <c r="E227" s="4">
        <f t="shared" ca="1" si="53"/>
        <v>45</v>
      </c>
      <c r="F227" s="4" t="s">
        <v>14</v>
      </c>
      <c r="G227" s="4">
        <v>22.37</v>
      </c>
      <c r="H227" s="4">
        <v>19.329999999999998</v>
      </c>
    </row>
    <row r="228" spans="1:8">
      <c r="A228" s="4">
        <v>8</v>
      </c>
      <c r="B228" s="4" t="s">
        <v>231</v>
      </c>
      <c r="C228" s="4">
        <v>89</v>
      </c>
      <c r="D228" s="5">
        <v>2</v>
      </c>
      <c r="E228" s="4">
        <f t="shared" ca="1" si="53"/>
        <v>25</v>
      </c>
      <c r="F228" s="4" t="s">
        <v>14</v>
      </c>
      <c r="G228" s="4">
        <v>34.28</v>
      </c>
      <c r="H228" s="4">
        <v>33.1</v>
      </c>
    </row>
    <row r="229" spans="1:8">
      <c r="A229" s="4">
        <v>9</v>
      </c>
      <c r="B229" s="4" t="s">
        <v>232</v>
      </c>
      <c r="C229" s="4">
        <v>90</v>
      </c>
      <c r="D229" s="5">
        <v>2</v>
      </c>
      <c r="E229" s="4">
        <f t="shared" ca="1" si="53"/>
        <v>60</v>
      </c>
      <c r="F229" s="4" t="s">
        <v>14</v>
      </c>
      <c r="G229" s="4">
        <v>30.33</v>
      </c>
      <c r="H229" s="4">
        <v>28.92</v>
      </c>
    </row>
    <row r="230" spans="1:8">
      <c r="A230" s="4">
        <v>10</v>
      </c>
      <c r="B230" s="4" t="s">
        <v>233</v>
      </c>
      <c r="C230" s="4">
        <v>91</v>
      </c>
      <c r="D230" s="5">
        <v>2</v>
      </c>
      <c r="E230" s="4">
        <f t="shared" ca="1" si="53"/>
        <v>50</v>
      </c>
      <c r="F230" s="4" t="s">
        <v>14</v>
      </c>
      <c r="G230" s="4">
        <v>17.41</v>
      </c>
      <c r="H230" s="4">
        <v>23.55</v>
      </c>
    </row>
    <row r="231" spans="1:8">
      <c r="A231" s="4">
        <v>11</v>
      </c>
      <c r="B231" s="4" t="s">
        <v>234</v>
      </c>
      <c r="C231" s="4">
        <v>92</v>
      </c>
      <c r="D231" s="5">
        <v>1</v>
      </c>
      <c r="E231" s="4">
        <f t="shared" ca="1" si="53"/>
        <v>31</v>
      </c>
      <c r="F231" s="4" t="s">
        <v>14</v>
      </c>
      <c r="G231" s="4">
        <v>3.76</v>
      </c>
      <c r="H231" s="4">
        <v>10.3</v>
      </c>
    </row>
    <row r="232" spans="1:8">
      <c r="A232" s="4">
        <v>12</v>
      </c>
      <c r="B232" s="4" t="s">
        <v>235</v>
      </c>
      <c r="C232" s="4">
        <v>93</v>
      </c>
      <c r="D232" s="5">
        <v>2</v>
      </c>
      <c r="E232" s="4">
        <f t="shared" ca="1" si="53"/>
        <v>58</v>
      </c>
      <c r="F232" s="4" t="s">
        <v>14</v>
      </c>
      <c r="G232" s="4">
        <v>19.98</v>
      </c>
      <c r="H232" s="4">
        <v>25.07</v>
      </c>
    </row>
    <row r="233" spans="1:8">
      <c r="A233" s="4">
        <v>13</v>
      </c>
      <c r="B233" s="4" t="s">
        <v>236</v>
      </c>
      <c r="C233" s="4">
        <v>94</v>
      </c>
      <c r="D233" s="5">
        <v>2</v>
      </c>
      <c r="E233" s="4">
        <f t="shared" ca="1" si="53"/>
        <v>49</v>
      </c>
      <c r="F233" s="4" t="s">
        <v>14</v>
      </c>
      <c r="G233" s="4">
        <v>2.56</v>
      </c>
      <c r="H233" s="4">
        <v>8.67</v>
      </c>
    </row>
    <row r="234" spans="1:8">
      <c r="A234" s="4">
        <v>14</v>
      </c>
      <c r="B234" s="4" t="s">
        <v>237</v>
      </c>
      <c r="C234" s="4">
        <v>95</v>
      </c>
      <c r="D234" s="5">
        <v>2</v>
      </c>
      <c r="E234" s="4">
        <f t="shared" ca="1" si="53"/>
        <v>59</v>
      </c>
      <c r="F234" s="4" t="s">
        <v>14</v>
      </c>
      <c r="G234" s="4">
        <v>4.01</v>
      </c>
      <c r="H234" s="4">
        <v>19.98</v>
      </c>
    </row>
    <row r="235" spans="1:8">
      <c r="A235" s="4">
        <v>15</v>
      </c>
      <c r="B235" s="4" t="s">
        <v>238</v>
      </c>
      <c r="C235" s="4">
        <v>96</v>
      </c>
      <c r="D235" s="5">
        <v>1</v>
      </c>
      <c r="E235" s="4">
        <f t="shared" ca="1" si="53"/>
        <v>22</v>
      </c>
      <c r="F235" s="4" t="s">
        <v>14</v>
      </c>
      <c r="G235" s="4">
        <v>12.84</v>
      </c>
      <c r="H235" s="4">
        <v>15.68</v>
      </c>
    </row>
    <row r="236" spans="1:8">
      <c r="A236" s="4">
        <v>16</v>
      </c>
      <c r="B236" s="4" t="s">
        <v>239</v>
      </c>
      <c r="C236" s="4">
        <v>97</v>
      </c>
      <c r="D236" s="5">
        <v>2</v>
      </c>
      <c r="E236" s="4">
        <f t="shared" ca="1" si="53"/>
        <v>42</v>
      </c>
      <c r="F236" s="4" t="s">
        <v>14</v>
      </c>
      <c r="G236" s="4">
        <v>6.84</v>
      </c>
      <c r="H236" s="4">
        <v>4.4800000000000004</v>
      </c>
    </row>
    <row r="237" spans="1:8">
      <c r="A237" s="4">
        <v>17</v>
      </c>
      <c r="B237" s="4" t="s">
        <v>240</v>
      </c>
      <c r="C237" s="4">
        <v>98</v>
      </c>
      <c r="D237" s="5">
        <v>1</v>
      </c>
      <c r="E237" s="4">
        <f t="shared" ca="1" si="53"/>
        <v>67</v>
      </c>
      <c r="F237" s="4" t="s">
        <v>14</v>
      </c>
      <c r="G237" s="4">
        <v>33.409999999999997</v>
      </c>
      <c r="H237" s="4">
        <v>33.17</v>
      </c>
    </row>
    <row r="238" spans="1:8">
      <c r="A238" s="4">
        <v>18</v>
      </c>
      <c r="B238" s="4" t="s">
        <v>241</v>
      </c>
      <c r="C238" s="4">
        <v>99</v>
      </c>
      <c r="D238" s="5">
        <v>2</v>
      </c>
      <c r="E238" s="4">
        <f t="shared" ca="1" si="53"/>
        <v>65</v>
      </c>
      <c r="F238" s="4" t="s">
        <v>14</v>
      </c>
      <c r="G238" s="4">
        <v>13.62</v>
      </c>
      <c r="H238" s="4">
        <v>27.64</v>
      </c>
    </row>
    <row r="239" spans="1:8">
      <c r="A239" s="4">
        <v>19</v>
      </c>
      <c r="B239" s="4" t="s">
        <v>242</v>
      </c>
      <c r="C239" s="4">
        <v>100</v>
      </c>
      <c r="D239" s="5">
        <v>1</v>
      </c>
      <c r="E239" s="4">
        <f t="shared" ca="1" si="53"/>
        <v>28</v>
      </c>
      <c r="F239" s="4" t="s">
        <v>14</v>
      </c>
      <c r="G239" s="4">
        <v>18.690000000000001</v>
      </c>
      <c r="H239" s="4">
        <v>15.7</v>
      </c>
    </row>
    <row r="240" spans="1:8">
      <c r="A240" s="4">
        <v>20</v>
      </c>
      <c r="B240" s="4" t="s">
        <v>243</v>
      </c>
      <c r="C240" s="4">
        <v>101</v>
      </c>
      <c r="D240" s="5">
        <v>1</v>
      </c>
      <c r="E240" s="4">
        <f t="shared" ca="1" si="53"/>
        <v>46</v>
      </c>
      <c r="F240" s="4" t="s">
        <v>14</v>
      </c>
      <c r="G240" s="4">
        <v>2.5299999999999998</v>
      </c>
      <c r="H240" s="4">
        <v>11.46</v>
      </c>
    </row>
    <row r="241" spans="1:8">
      <c r="A241" s="4">
        <v>21</v>
      </c>
      <c r="B241" s="4" t="s">
        <v>244</v>
      </c>
      <c r="C241" s="4">
        <v>102</v>
      </c>
      <c r="D241" s="5">
        <v>2</v>
      </c>
      <c r="E241" s="4">
        <f t="shared" ca="1" si="53"/>
        <v>33</v>
      </c>
      <c r="F241" s="4" t="s">
        <v>14</v>
      </c>
      <c r="G241" s="4">
        <v>9.06</v>
      </c>
      <c r="H241" s="4">
        <v>16.61</v>
      </c>
    </row>
    <row r="242" spans="1:8">
      <c r="A242" s="4">
        <v>22</v>
      </c>
      <c r="B242" s="4" t="s">
        <v>245</v>
      </c>
      <c r="C242" s="4">
        <v>103</v>
      </c>
      <c r="D242" s="5">
        <v>2</v>
      </c>
      <c r="E242" s="4">
        <f t="shared" ca="1" si="53"/>
        <v>35</v>
      </c>
      <c r="F242" s="4" t="s">
        <v>14</v>
      </c>
      <c r="G242" s="4">
        <v>11.72</v>
      </c>
      <c r="H242" s="4">
        <v>22.13</v>
      </c>
    </row>
    <row r="243" spans="1:8">
      <c r="A243" s="4">
        <v>23</v>
      </c>
      <c r="B243" s="4" t="s">
        <v>246</v>
      </c>
      <c r="C243" s="4">
        <v>104</v>
      </c>
      <c r="D243" s="5">
        <v>1</v>
      </c>
      <c r="E243" s="4">
        <f t="shared" ca="1" si="53"/>
        <v>63</v>
      </c>
      <c r="F243" s="4" t="s">
        <v>14</v>
      </c>
      <c r="G243" s="4">
        <v>23.52</v>
      </c>
      <c r="H243" s="4">
        <v>23.95</v>
      </c>
    </row>
    <row r="244" spans="1:8">
      <c r="A244" s="4">
        <v>24</v>
      </c>
      <c r="B244" s="4" t="s">
        <v>247</v>
      </c>
      <c r="C244" s="4">
        <v>105</v>
      </c>
      <c r="D244" s="5">
        <v>1</v>
      </c>
      <c r="E244" s="4">
        <f t="shared" ca="1" si="53"/>
        <v>43</v>
      </c>
      <c r="F244" s="4" t="s">
        <v>14</v>
      </c>
      <c r="G244" s="4">
        <v>12.92</v>
      </c>
      <c r="H244" s="4">
        <v>19.28</v>
      </c>
    </row>
    <row r="245" spans="1:8">
      <c r="A245" s="4">
        <v>25</v>
      </c>
      <c r="B245" s="4" t="s">
        <v>248</v>
      </c>
      <c r="C245" s="4">
        <v>106</v>
      </c>
      <c r="D245" s="5">
        <v>1</v>
      </c>
      <c r="E245" s="4">
        <f t="shared" ca="1" si="53"/>
        <v>36</v>
      </c>
      <c r="F245" s="4" t="s">
        <v>14</v>
      </c>
      <c r="G245" s="4">
        <v>26.97</v>
      </c>
      <c r="H245" s="4">
        <v>27.47</v>
      </c>
    </row>
    <row r="246" spans="1:8">
      <c r="A246" s="4">
        <v>26</v>
      </c>
      <c r="B246" s="4" t="s">
        <v>249</v>
      </c>
      <c r="C246" s="4">
        <v>107</v>
      </c>
      <c r="D246" s="5">
        <v>1</v>
      </c>
      <c r="E246" s="4">
        <f t="shared" ca="1" si="53"/>
        <v>59</v>
      </c>
      <c r="F246" s="4" t="s">
        <v>14</v>
      </c>
      <c r="G246" s="4">
        <v>20.85</v>
      </c>
      <c r="H246" s="4">
        <v>11.31</v>
      </c>
    </row>
    <row r="247" spans="1:8">
      <c r="A247" s="4">
        <v>27</v>
      </c>
      <c r="B247" s="4" t="s">
        <v>250</v>
      </c>
      <c r="C247" s="4">
        <v>108</v>
      </c>
      <c r="D247" s="5">
        <v>2</v>
      </c>
      <c r="E247" s="4">
        <f t="shared" ca="1" si="53"/>
        <v>20</v>
      </c>
      <c r="F247" s="4" t="s">
        <v>14</v>
      </c>
      <c r="G247" s="4">
        <v>18.43</v>
      </c>
      <c r="H247" s="4">
        <v>8.26</v>
      </c>
    </row>
    <row r="248" spans="1:8">
      <c r="A248" s="4">
        <v>1</v>
      </c>
      <c r="B248" s="4" t="s">
        <v>251</v>
      </c>
      <c r="C248" s="4">
        <v>109</v>
      </c>
      <c r="D248" s="5">
        <v>1</v>
      </c>
      <c r="E248" s="4">
        <f t="shared" ca="1" si="53"/>
        <v>31</v>
      </c>
      <c r="F248" s="4" t="s">
        <v>15</v>
      </c>
      <c r="G248" s="4">
        <v>16.559999999999999</v>
      </c>
      <c r="H248" s="4">
        <v>16.600000000000001</v>
      </c>
    </row>
    <row r="249" spans="1:8">
      <c r="A249" s="4">
        <v>2</v>
      </c>
      <c r="B249" s="4" t="s">
        <v>252</v>
      </c>
      <c r="C249" s="4">
        <v>110</v>
      </c>
      <c r="D249" s="5">
        <v>1</v>
      </c>
      <c r="E249" s="4">
        <f t="shared" ca="1" si="53"/>
        <v>25</v>
      </c>
      <c r="F249" s="4" t="s">
        <v>15</v>
      </c>
      <c r="G249" s="4">
        <v>6.29</v>
      </c>
      <c r="H249" s="4">
        <v>2.95</v>
      </c>
    </row>
    <row r="250" spans="1:8">
      <c r="A250" s="4">
        <v>3</v>
      </c>
      <c r="B250" s="4" t="s">
        <v>253</v>
      </c>
      <c r="C250" s="4">
        <v>111</v>
      </c>
      <c r="D250" s="5">
        <v>1</v>
      </c>
      <c r="E250" s="4">
        <f t="shared" ca="1" si="53"/>
        <v>50</v>
      </c>
      <c r="F250" s="4" t="s">
        <v>15</v>
      </c>
      <c r="G250" s="4">
        <v>4.88</v>
      </c>
      <c r="H250" s="4">
        <v>7.49</v>
      </c>
    </row>
    <row r="251" spans="1:8">
      <c r="A251" s="4">
        <v>4</v>
      </c>
      <c r="B251" s="4" t="s">
        <v>254</v>
      </c>
      <c r="C251" s="4">
        <v>112</v>
      </c>
      <c r="D251" s="5">
        <v>1</v>
      </c>
      <c r="E251" s="4">
        <f t="shared" ca="1" si="53"/>
        <v>54</v>
      </c>
      <c r="F251" s="4" t="s">
        <v>15</v>
      </c>
      <c r="G251" s="4">
        <v>20.2</v>
      </c>
      <c r="H251" s="4">
        <v>22.83</v>
      </c>
    </row>
    <row r="252" spans="1:8">
      <c r="A252" s="4">
        <v>5</v>
      </c>
      <c r="B252" s="4" t="s">
        <v>255</v>
      </c>
      <c r="C252" s="4">
        <v>113</v>
      </c>
      <c r="D252" s="5">
        <v>2</v>
      </c>
      <c r="E252" s="4">
        <f t="shared" ca="1" si="53"/>
        <v>45</v>
      </c>
      <c r="F252" s="4" t="s">
        <v>15</v>
      </c>
      <c r="G252" s="4">
        <v>23.46</v>
      </c>
      <c r="H252" s="4">
        <v>26.15</v>
      </c>
    </row>
    <row r="253" spans="1:8">
      <c r="A253" s="4">
        <v>6</v>
      </c>
      <c r="B253" s="4" t="s">
        <v>256</v>
      </c>
      <c r="C253" s="4">
        <v>114</v>
      </c>
      <c r="D253" s="5">
        <v>1</v>
      </c>
      <c r="E253" s="4">
        <f t="shared" ca="1" si="53"/>
        <v>50</v>
      </c>
      <c r="F253" s="4" t="s">
        <v>15</v>
      </c>
      <c r="G253" s="4">
        <v>6.29</v>
      </c>
      <c r="H253" s="4">
        <v>2.95</v>
      </c>
    </row>
    <row r="254" spans="1:8">
      <c r="A254" s="4">
        <v>7</v>
      </c>
      <c r="B254" s="4" t="s">
        <v>257</v>
      </c>
      <c r="C254" s="4">
        <v>115</v>
      </c>
      <c r="D254" s="5">
        <v>1</v>
      </c>
      <c r="E254" s="4">
        <f t="shared" ca="1" si="53"/>
        <v>62</v>
      </c>
      <c r="F254" s="4" t="s">
        <v>15</v>
      </c>
      <c r="G254" s="4">
        <v>5.25</v>
      </c>
      <c r="H254" s="4">
        <v>6.54</v>
      </c>
    </row>
    <row r="255" spans="1:8">
      <c r="A255" s="4">
        <v>8</v>
      </c>
      <c r="B255" s="4" t="s">
        <v>258</v>
      </c>
      <c r="C255" s="4">
        <v>116</v>
      </c>
      <c r="D255" s="5">
        <v>1</v>
      </c>
      <c r="E255" s="4">
        <f t="shared" ca="1" si="53"/>
        <v>31</v>
      </c>
      <c r="F255" s="4" t="s">
        <v>15</v>
      </c>
      <c r="G255" s="4">
        <v>9.7100000000000009</v>
      </c>
      <c r="H255" s="4">
        <v>17.62</v>
      </c>
    </row>
    <row r="256" spans="1:8">
      <c r="A256" s="4">
        <v>9</v>
      </c>
      <c r="B256" s="4" t="s">
        <v>259</v>
      </c>
      <c r="C256" s="4">
        <v>117</v>
      </c>
      <c r="D256" s="5">
        <v>2</v>
      </c>
      <c r="E256" s="4">
        <f t="shared" ca="1" si="53"/>
        <v>38</v>
      </c>
      <c r="F256" s="4" t="s">
        <v>15</v>
      </c>
      <c r="G256" s="4">
        <v>24.8</v>
      </c>
      <c r="H256" s="4">
        <v>16.920000000000002</v>
      </c>
    </row>
    <row r="257" spans="1:8">
      <c r="A257" s="4">
        <v>10</v>
      </c>
      <c r="B257" s="4" t="s">
        <v>260</v>
      </c>
      <c r="C257" s="4">
        <v>118</v>
      </c>
      <c r="D257" s="5">
        <v>1</v>
      </c>
      <c r="E257" s="4">
        <f t="shared" ca="1" si="53"/>
        <v>48</v>
      </c>
      <c r="F257" s="4" t="s">
        <v>15</v>
      </c>
      <c r="G257" s="4">
        <v>19.87</v>
      </c>
      <c r="H257" s="4">
        <v>15.04</v>
      </c>
    </row>
    <row r="258" spans="1:8">
      <c r="A258" s="4">
        <v>11</v>
      </c>
      <c r="B258" s="4" t="s">
        <v>261</v>
      </c>
      <c r="C258" s="4">
        <v>119</v>
      </c>
      <c r="D258" s="5">
        <v>1</v>
      </c>
      <c r="E258" s="4">
        <f t="shared" ca="1" si="53"/>
        <v>39</v>
      </c>
      <c r="F258" s="4" t="s">
        <v>15</v>
      </c>
      <c r="G258" s="4">
        <v>18.86</v>
      </c>
      <c r="H258" s="4">
        <v>17.68</v>
      </c>
    </row>
    <row r="259" spans="1:8">
      <c r="A259" s="4">
        <v>12</v>
      </c>
      <c r="B259" s="4" t="s">
        <v>262</v>
      </c>
      <c r="C259" s="4">
        <v>120</v>
      </c>
      <c r="D259" s="5">
        <v>2</v>
      </c>
      <c r="E259" s="4">
        <f t="shared" ca="1" si="53"/>
        <v>35</v>
      </c>
      <c r="F259" s="4" t="s">
        <v>15</v>
      </c>
      <c r="G259" s="4">
        <v>23.98</v>
      </c>
      <c r="H259" s="4">
        <v>22.61</v>
      </c>
    </row>
    <row r="260" spans="1:8">
      <c r="A260" s="4">
        <v>13</v>
      </c>
      <c r="B260" s="4" t="s">
        <v>263</v>
      </c>
      <c r="C260" s="4">
        <v>121</v>
      </c>
      <c r="D260" s="5">
        <v>1</v>
      </c>
      <c r="E260" s="4">
        <f t="shared" ca="1" si="53"/>
        <v>43</v>
      </c>
      <c r="F260" s="4" t="s">
        <v>15</v>
      </c>
      <c r="G260" s="4">
        <v>24.65</v>
      </c>
      <c r="H260" s="4">
        <v>25.49</v>
      </c>
    </row>
    <row r="261" spans="1:8">
      <c r="A261" s="4">
        <v>14</v>
      </c>
      <c r="B261" s="4" t="s">
        <v>264</v>
      </c>
      <c r="C261" s="4">
        <v>122</v>
      </c>
      <c r="D261" s="5">
        <v>1</v>
      </c>
      <c r="E261" s="4">
        <f t="shared" ca="1" si="53"/>
        <v>22</v>
      </c>
      <c r="F261" s="4" t="s">
        <v>15</v>
      </c>
      <c r="G261" s="4">
        <v>18.95</v>
      </c>
      <c r="H261" s="4">
        <v>13.39</v>
      </c>
    </row>
    <row r="262" spans="1:8">
      <c r="A262" s="4">
        <v>15</v>
      </c>
      <c r="B262" s="4" t="s">
        <v>265</v>
      </c>
      <c r="C262" s="4">
        <v>123</v>
      </c>
      <c r="D262" s="5">
        <v>1</v>
      </c>
      <c r="E262" s="4">
        <f t="shared" ca="1" si="53"/>
        <v>50</v>
      </c>
      <c r="F262" s="4" t="s">
        <v>15</v>
      </c>
      <c r="G262" s="4">
        <v>27.18</v>
      </c>
      <c r="H262" s="4">
        <v>33.1</v>
      </c>
    </row>
    <row r="263" spans="1:8">
      <c r="A263" s="4">
        <v>16</v>
      </c>
      <c r="B263" s="4" t="s">
        <v>266</v>
      </c>
      <c r="C263" s="4">
        <v>124</v>
      </c>
      <c r="D263" s="5">
        <v>1</v>
      </c>
      <c r="E263" s="4">
        <f t="shared" ca="1" si="53"/>
        <v>21</v>
      </c>
      <c r="F263" s="4" t="s">
        <v>15</v>
      </c>
      <c r="G263" s="4">
        <v>29.21</v>
      </c>
      <c r="H263" s="4">
        <v>21.67</v>
      </c>
    </row>
    <row r="264" spans="1:8">
      <c r="A264" s="4">
        <v>17</v>
      </c>
      <c r="B264" s="4" t="s">
        <v>267</v>
      </c>
      <c r="C264" s="4">
        <v>125</v>
      </c>
      <c r="D264" s="5">
        <v>2</v>
      </c>
      <c r="E264" s="4">
        <f t="shared" ca="1" si="53"/>
        <v>22</v>
      </c>
      <c r="F264" s="4" t="s">
        <v>15</v>
      </c>
      <c r="G264" s="4">
        <v>22.08</v>
      </c>
      <c r="H264" s="4">
        <v>29.94</v>
      </c>
    </row>
    <row r="265" spans="1:8">
      <c r="A265" s="4">
        <v>18</v>
      </c>
      <c r="B265" s="4" t="s">
        <v>268</v>
      </c>
      <c r="C265" s="4">
        <v>126</v>
      </c>
      <c r="D265" s="5">
        <v>2</v>
      </c>
      <c r="E265" s="4">
        <f t="shared" ca="1" si="53"/>
        <v>39</v>
      </c>
      <c r="F265" s="4" t="s">
        <v>15</v>
      </c>
      <c r="G265" s="4">
        <v>34.479999999999997</v>
      </c>
      <c r="H265" s="4">
        <v>27.89</v>
      </c>
    </row>
    <row r="266" spans="1:8">
      <c r="A266" s="4">
        <v>19</v>
      </c>
      <c r="B266" s="4" t="s">
        <v>269</v>
      </c>
      <c r="C266" s="4">
        <v>127</v>
      </c>
      <c r="D266" s="5">
        <v>2</v>
      </c>
      <c r="E266" s="4">
        <f t="shared" ca="1" si="53"/>
        <v>62</v>
      </c>
      <c r="F266" s="4" t="s">
        <v>15</v>
      </c>
      <c r="G266" s="4">
        <v>32.549999999999997</v>
      </c>
      <c r="H266" s="4">
        <v>31.99</v>
      </c>
    </row>
    <row r="267" spans="1:8">
      <c r="A267" s="4">
        <v>20</v>
      </c>
      <c r="B267" s="4" t="s">
        <v>270</v>
      </c>
      <c r="C267" s="4">
        <v>128</v>
      </c>
      <c r="D267" s="5">
        <v>1</v>
      </c>
      <c r="E267" s="4">
        <f t="shared" ca="1" si="53"/>
        <v>22</v>
      </c>
      <c r="F267" s="4" t="s">
        <v>15</v>
      </c>
      <c r="G267" s="4">
        <v>31.86</v>
      </c>
      <c r="H267" s="4">
        <v>32.96</v>
      </c>
    </row>
    <row r="268" spans="1:8">
      <c r="A268" s="4">
        <v>21</v>
      </c>
      <c r="B268" s="4" t="s">
        <v>271</v>
      </c>
      <c r="C268" s="4">
        <v>129</v>
      </c>
      <c r="D268" s="5">
        <v>2</v>
      </c>
      <c r="E268" s="4">
        <f t="shared" ca="1" si="53"/>
        <v>37</v>
      </c>
      <c r="F268" s="4" t="s">
        <v>15</v>
      </c>
      <c r="G268" s="4">
        <v>19.920000000000002</v>
      </c>
      <c r="H268" s="4">
        <v>8.9</v>
      </c>
    </row>
    <row r="269" spans="1:8">
      <c r="A269" s="4">
        <v>22</v>
      </c>
      <c r="B269" s="4" t="s">
        <v>272</v>
      </c>
      <c r="C269" s="4">
        <v>130</v>
      </c>
      <c r="D269" s="5">
        <v>1</v>
      </c>
      <c r="E269" s="4">
        <f t="shared" ref="E269:E274" ca="1" si="54">RANDBETWEEN(18,70)</f>
        <v>40</v>
      </c>
      <c r="F269" s="4" t="s">
        <v>15</v>
      </c>
      <c r="G269" s="4">
        <v>13.29</v>
      </c>
      <c r="H269" s="4">
        <v>12.52</v>
      </c>
    </row>
    <row r="270" spans="1:8">
      <c r="A270" s="4">
        <v>23</v>
      </c>
      <c r="B270" s="4" t="s">
        <v>273</v>
      </c>
      <c r="C270" s="4">
        <v>131</v>
      </c>
      <c r="D270" s="5">
        <v>2</v>
      </c>
      <c r="E270" s="4">
        <f t="shared" ca="1" si="54"/>
        <v>41</v>
      </c>
      <c r="F270" s="4" t="s">
        <v>15</v>
      </c>
      <c r="G270" s="4">
        <v>24.17</v>
      </c>
      <c r="H270" s="4">
        <v>32.85</v>
      </c>
    </row>
    <row r="271" spans="1:8">
      <c r="A271" s="4">
        <v>24</v>
      </c>
      <c r="B271" s="4" t="s">
        <v>274</v>
      </c>
      <c r="C271" s="4">
        <v>132</v>
      </c>
      <c r="D271" s="5">
        <v>2</v>
      </c>
      <c r="E271" s="4">
        <f t="shared" ca="1" si="54"/>
        <v>52</v>
      </c>
      <c r="F271" s="4" t="s">
        <v>15</v>
      </c>
      <c r="G271" s="4">
        <v>25.59</v>
      </c>
      <c r="H271" s="4">
        <v>28.43</v>
      </c>
    </row>
    <row r="272" spans="1:8">
      <c r="A272" s="4">
        <v>25</v>
      </c>
      <c r="B272" s="4" t="s">
        <v>275</v>
      </c>
      <c r="C272" s="4">
        <v>133</v>
      </c>
      <c r="D272" s="5">
        <v>2</v>
      </c>
      <c r="E272" s="4">
        <f t="shared" ca="1" si="54"/>
        <v>23</v>
      </c>
      <c r="F272" s="4" t="s">
        <v>15</v>
      </c>
      <c r="G272" s="4">
        <v>23.83</v>
      </c>
      <c r="H272" s="4">
        <v>30.12</v>
      </c>
    </row>
    <row r="273" spans="1:25">
      <c r="A273" s="4">
        <v>26</v>
      </c>
      <c r="B273" s="4" t="s">
        <v>276</v>
      </c>
      <c r="C273" s="4">
        <v>134</v>
      </c>
      <c r="D273" s="5">
        <v>1</v>
      </c>
      <c r="E273" s="4">
        <f t="shared" ca="1" si="54"/>
        <v>44</v>
      </c>
      <c r="F273" s="4" t="s">
        <v>15</v>
      </c>
      <c r="G273" s="4">
        <v>34.58</v>
      </c>
      <c r="H273" s="4">
        <v>26.43</v>
      </c>
    </row>
    <row r="274" spans="1:25">
      <c r="A274" s="4">
        <v>27</v>
      </c>
      <c r="B274" s="4" t="s">
        <v>277</v>
      </c>
      <c r="C274" s="4">
        <v>135</v>
      </c>
      <c r="D274" s="5">
        <v>1</v>
      </c>
      <c r="E274" s="4">
        <f t="shared" ca="1" si="54"/>
        <v>60</v>
      </c>
      <c r="F274" s="4" t="s">
        <v>15</v>
      </c>
      <c r="G274" s="4">
        <v>17.920000000000002</v>
      </c>
      <c r="H274" s="4">
        <v>26.48</v>
      </c>
    </row>
    <row r="278" spans="1:25">
      <c r="A278" s="4" t="s">
        <v>51</v>
      </c>
      <c r="B278" s="4" t="s">
        <v>52</v>
      </c>
      <c r="C278" s="4" t="s">
        <v>53</v>
      </c>
      <c r="D278" s="5" t="s">
        <v>54</v>
      </c>
      <c r="E278" s="4" t="s">
        <v>55</v>
      </c>
      <c r="F278" s="4" t="s">
        <v>56</v>
      </c>
      <c r="G278" s="4" t="s">
        <v>309</v>
      </c>
      <c r="H278" s="4" t="s">
        <v>22</v>
      </c>
      <c r="J278" s="4" t="s">
        <v>279</v>
      </c>
      <c r="N278" s="4" t="s">
        <v>280</v>
      </c>
      <c r="R278" s="4" t="s">
        <v>63</v>
      </c>
    </row>
    <row r="279" spans="1:25">
      <c r="A279" s="4">
        <v>1</v>
      </c>
      <c r="B279" s="4" t="s">
        <v>60</v>
      </c>
      <c r="C279" s="4">
        <v>1</v>
      </c>
      <c r="D279" s="6">
        <v>1</v>
      </c>
      <c r="E279" s="4">
        <f ca="1">RANDBETWEEN(18,70)</f>
        <v>21</v>
      </c>
      <c r="F279" s="4" t="s">
        <v>11</v>
      </c>
      <c r="G279" s="7">
        <v>17.8</v>
      </c>
      <c r="H279" s="7">
        <v>17.600000000000001</v>
      </c>
    </row>
    <row r="280" spans="1:25">
      <c r="A280" s="4">
        <v>2</v>
      </c>
      <c r="B280" s="4" t="s">
        <v>64</v>
      </c>
      <c r="C280" s="4">
        <v>2</v>
      </c>
      <c r="D280" s="6">
        <v>2</v>
      </c>
      <c r="E280" s="4">
        <f t="shared" ref="E280:E343" ca="1" si="55">RANDBETWEEN(18,70)</f>
        <v>24</v>
      </c>
      <c r="F280" s="4" t="s">
        <v>11</v>
      </c>
      <c r="G280" s="7">
        <v>18</v>
      </c>
      <c r="H280" s="7">
        <v>19</v>
      </c>
      <c r="J280" s="40"/>
      <c r="K280" s="40" t="str">
        <f>F278</f>
        <v>clase esque</v>
      </c>
      <c r="L280" s="40" t="str">
        <f>G278</f>
        <v>angizq</v>
      </c>
      <c r="N280" s="40"/>
      <c r="O280" s="40" t="str">
        <f>F278</f>
        <v>clase esque</v>
      </c>
      <c r="P280" s="40" t="str">
        <f>G278</f>
        <v>angizq</v>
      </c>
      <c r="R280" s="4" t="str">
        <f t="array" ref="R280:V307">[1]!StdAnova1(F279:G413)</f>
        <v>I</v>
      </c>
      <c r="S280" s="4" t="str">
        <v>II ALTO</v>
      </c>
      <c r="T280" s="4" t="str">
        <v>II BAJO</v>
      </c>
      <c r="U280" s="4" t="str">
        <v>III ALTO</v>
      </c>
      <c r="V280" s="4" t="str">
        <v>III BAJO</v>
      </c>
      <c r="X280" s="4" t="s">
        <v>278</v>
      </c>
    </row>
    <row r="281" spans="1:25">
      <c r="A281" s="4">
        <v>3</v>
      </c>
      <c r="B281" s="4" t="s">
        <v>68</v>
      </c>
      <c r="C281" s="4">
        <v>3</v>
      </c>
      <c r="D281" s="6">
        <v>2</v>
      </c>
      <c r="E281" s="4">
        <f t="shared" ca="1" si="55"/>
        <v>36</v>
      </c>
      <c r="F281" s="4" t="s">
        <v>11</v>
      </c>
      <c r="G281" s="8">
        <v>19</v>
      </c>
      <c r="H281" s="8">
        <v>19.3</v>
      </c>
      <c r="J281" s="4" t="s">
        <v>4</v>
      </c>
      <c r="K281" s="4" t="e">
        <f>AVERAGE(F279:F413)</f>
        <v>#DIV/0!</v>
      </c>
      <c r="L281" s="4">
        <f>AVERAGE(G279:G413)</f>
        <v>22.326296296296288</v>
      </c>
      <c r="N281" s="4" t="s">
        <v>283</v>
      </c>
      <c r="O281" s="4" t="e">
        <f>[1]!SHAPIRO(F279:F413)</f>
        <v>#VALUE!</v>
      </c>
      <c r="P281" s="4">
        <f>[1]!SHAPIRO(G279:G413)</f>
        <v>0.9953124588147817</v>
      </c>
      <c r="R281" s="16">
        <v>17.8</v>
      </c>
      <c r="S281" s="38">
        <v>26.56</v>
      </c>
      <c r="T281" s="38">
        <v>26.5</v>
      </c>
      <c r="U281" s="38">
        <v>16.5</v>
      </c>
      <c r="V281" s="17">
        <v>16.600000000000001</v>
      </c>
    </row>
    <row r="282" spans="1:25">
      <c r="A282" s="4">
        <v>4</v>
      </c>
      <c r="B282" s="4" t="s">
        <v>73</v>
      </c>
      <c r="C282" s="4">
        <v>4</v>
      </c>
      <c r="D282" s="6">
        <v>2</v>
      </c>
      <c r="E282" s="4">
        <f t="shared" ca="1" si="55"/>
        <v>54</v>
      </c>
      <c r="F282" s="4" t="s">
        <v>11</v>
      </c>
      <c r="G282" s="8">
        <v>14</v>
      </c>
      <c r="H282" s="8">
        <v>13.9</v>
      </c>
      <c r="J282" s="4" t="s">
        <v>5</v>
      </c>
      <c r="K282" s="4" t="e">
        <f>_xlfn.STDEV.S(F279:F413)/SQRT(COUNT(F279:F413))</f>
        <v>#DIV/0!</v>
      </c>
      <c r="L282" s="4">
        <f>_xlfn.STDEV.S(G279:G413)/SQRT(COUNT(G279:G413))</f>
        <v>0.76944389717391715</v>
      </c>
      <c r="N282" s="4" t="s">
        <v>23</v>
      </c>
      <c r="O282" s="4" t="e">
        <f>[1]!SWTEST(F279:F413)</f>
        <v>#VALUE!</v>
      </c>
      <c r="P282" s="4">
        <f>[1]!SWTEST(G279:G413)</f>
        <v>0.94174746203235127</v>
      </c>
      <c r="R282" s="22">
        <v>18</v>
      </c>
      <c r="S282" s="4">
        <v>33.4</v>
      </c>
      <c r="T282" s="4">
        <v>27.2</v>
      </c>
      <c r="U282" s="4">
        <v>31.42</v>
      </c>
      <c r="V282" s="23">
        <v>2.95</v>
      </c>
      <c r="X282" s="4" t="s">
        <v>281</v>
      </c>
      <c r="Y282" s="32" t="s">
        <v>23</v>
      </c>
    </row>
    <row r="283" spans="1:25">
      <c r="A283" s="4">
        <v>5</v>
      </c>
      <c r="B283" s="4" t="s">
        <v>81</v>
      </c>
      <c r="C283" s="4">
        <v>5</v>
      </c>
      <c r="D283" s="6">
        <v>2</v>
      </c>
      <c r="E283" s="4">
        <f t="shared" ca="1" si="55"/>
        <v>47</v>
      </c>
      <c r="F283" s="4" t="s">
        <v>11</v>
      </c>
      <c r="G283" s="8">
        <v>20.9</v>
      </c>
      <c r="H283" s="8">
        <v>21.5</v>
      </c>
      <c r="J283" s="4" t="s">
        <v>6</v>
      </c>
      <c r="K283" s="4" t="e">
        <f>MEDIAN(F279:F413)</f>
        <v>#NUM!</v>
      </c>
      <c r="L283" s="4">
        <f>MEDIAN(G279:G413)</f>
        <v>22.61</v>
      </c>
      <c r="N283" s="4" t="s">
        <v>286</v>
      </c>
      <c r="O283" s="4">
        <v>0.05</v>
      </c>
      <c r="P283" s="4">
        <v>0.05</v>
      </c>
      <c r="R283" s="22">
        <v>19</v>
      </c>
      <c r="S283" s="4">
        <v>43.01</v>
      </c>
      <c r="T283" s="4">
        <v>24.89</v>
      </c>
      <c r="U283" s="4">
        <v>13.53</v>
      </c>
      <c r="V283" s="23">
        <v>7.49</v>
      </c>
      <c r="X283" s="4" t="s">
        <v>282</v>
      </c>
      <c r="Y283" s="25">
        <f>[1]!LEVENE(R281:V307)</f>
        <v>2.33861580645367E-3</v>
      </c>
    </row>
    <row r="284" spans="1:25">
      <c r="A284" s="4">
        <v>6</v>
      </c>
      <c r="B284" s="4" t="s">
        <v>84</v>
      </c>
      <c r="C284" s="4">
        <v>6</v>
      </c>
      <c r="D284" s="6">
        <v>1</v>
      </c>
      <c r="E284" s="4">
        <f t="shared" ca="1" si="55"/>
        <v>50</v>
      </c>
      <c r="F284" s="4" t="s">
        <v>11</v>
      </c>
      <c r="G284" s="8">
        <v>14.1</v>
      </c>
      <c r="H284" s="8">
        <v>14.5</v>
      </c>
      <c r="J284" s="4" t="s">
        <v>287</v>
      </c>
      <c r="K284" s="4" t="e">
        <f>MODE(F279:F413)</f>
        <v>#N/A</v>
      </c>
      <c r="L284" s="4">
        <f>MODE(G279:G413)</f>
        <v>28.43</v>
      </c>
      <c r="N284" s="4" t="s">
        <v>288</v>
      </c>
      <c r="O284" s="32" t="e">
        <f>IF(O282&lt;O283,"no","yes")</f>
        <v>#VALUE!</v>
      </c>
      <c r="P284" s="32" t="str">
        <f>IF(P282&lt;P283,"no","yes")</f>
        <v>yes</v>
      </c>
      <c r="R284" s="22">
        <v>14</v>
      </c>
      <c r="S284" s="4">
        <v>38.340000000000003</v>
      </c>
      <c r="T284" s="4">
        <v>17.87</v>
      </c>
      <c r="U284" s="4">
        <v>16.62</v>
      </c>
      <c r="V284" s="23">
        <v>22.83</v>
      </c>
      <c r="X284" s="4" t="s">
        <v>284</v>
      </c>
      <c r="Y284" s="26">
        <f>[1]!LEVENE(R281:V307,1)</f>
        <v>6.6220913150893956E-3</v>
      </c>
    </row>
    <row r="285" spans="1:25">
      <c r="A285" s="4">
        <v>7</v>
      </c>
      <c r="B285" s="4" t="s">
        <v>87</v>
      </c>
      <c r="C285" s="4">
        <v>7</v>
      </c>
      <c r="D285" s="6">
        <v>2</v>
      </c>
      <c r="E285" s="4">
        <f t="shared" ca="1" si="55"/>
        <v>39</v>
      </c>
      <c r="F285" s="4" t="s">
        <v>11</v>
      </c>
      <c r="G285" s="8">
        <v>14.6</v>
      </c>
      <c r="H285" s="8">
        <v>15.4</v>
      </c>
      <c r="J285" s="4" t="s">
        <v>289</v>
      </c>
      <c r="K285" s="4" t="e">
        <f>_xlfn.STDEV.S(F279:F413)</f>
        <v>#DIV/0!</v>
      </c>
      <c r="L285" s="4">
        <f>_xlfn.STDEV.S(G279:G413)</f>
        <v>8.9401301987865391</v>
      </c>
      <c r="R285" s="22">
        <v>20.9</v>
      </c>
      <c r="S285" s="4">
        <v>35.549999999999997</v>
      </c>
      <c r="T285" s="4">
        <v>9.82</v>
      </c>
      <c r="U285" s="4">
        <v>24.05</v>
      </c>
      <c r="V285" s="23">
        <v>26.15</v>
      </c>
      <c r="X285" s="4" t="s">
        <v>285</v>
      </c>
      <c r="Y285" s="27">
        <f>[1]!LEVENE(R281:V307,-1)</f>
        <v>2.5171860168269333E-3</v>
      </c>
    </row>
    <row r="286" spans="1:25">
      <c r="A286" s="4">
        <v>8</v>
      </c>
      <c r="B286" s="4" t="s">
        <v>90</v>
      </c>
      <c r="C286" s="4">
        <v>8</v>
      </c>
      <c r="D286" s="6">
        <v>1</v>
      </c>
      <c r="E286" s="4">
        <f t="shared" ca="1" si="55"/>
        <v>21</v>
      </c>
      <c r="F286" s="4" t="s">
        <v>11</v>
      </c>
      <c r="G286" s="8">
        <v>17.600000000000001</v>
      </c>
      <c r="H286" s="8">
        <v>17.8</v>
      </c>
      <c r="J286" s="4" t="s">
        <v>290</v>
      </c>
      <c r="K286" s="4" t="e">
        <f>_xlfn.VAR.S(F279:F413)</f>
        <v>#DIV/0!</v>
      </c>
      <c r="L286" s="4">
        <f>_xlfn.VAR.S(G279:G413)</f>
        <v>79.925927971255049</v>
      </c>
      <c r="N286" s="4" t="s">
        <v>291</v>
      </c>
      <c r="R286" s="22">
        <v>14.1</v>
      </c>
      <c r="S286" s="4">
        <v>26.82</v>
      </c>
      <c r="T286" s="4">
        <v>34.450000000000003</v>
      </c>
      <c r="U286" s="4">
        <v>23.02</v>
      </c>
      <c r="V286" s="23">
        <v>2.95</v>
      </c>
    </row>
    <row r="287" spans="1:25">
      <c r="A287" s="4">
        <v>9</v>
      </c>
      <c r="B287" s="4" t="s">
        <v>93</v>
      </c>
      <c r="C287" s="4">
        <v>9</v>
      </c>
      <c r="D287" s="6">
        <v>1</v>
      </c>
      <c r="E287" s="4">
        <f t="shared" ca="1" si="55"/>
        <v>20</v>
      </c>
      <c r="F287" s="4" t="s">
        <v>11</v>
      </c>
      <c r="G287" s="8">
        <v>22.3</v>
      </c>
      <c r="H287" s="8">
        <v>22</v>
      </c>
      <c r="J287" s="4" t="s">
        <v>292</v>
      </c>
      <c r="K287" s="4" t="e">
        <f>KURT(F279:F413)</f>
        <v>#DIV/0!</v>
      </c>
      <c r="L287" s="4">
        <f>KURT(G279:G413)</f>
        <v>-5.4222074156096589E-2</v>
      </c>
      <c r="R287" s="22">
        <v>14.6</v>
      </c>
      <c r="S287" s="4">
        <v>18.079999999999998</v>
      </c>
      <c r="T287" s="4">
        <v>4.2699999999999996</v>
      </c>
      <c r="U287" s="4">
        <v>19.329999999999998</v>
      </c>
      <c r="V287" s="23">
        <v>6.54</v>
      </c>
    </row>
    <row r="288" spans="1:25">
      <c r="A288" s="4">
        <v>10</v>
      </c>
      <c r="B288" s="4" t="s">
        <v>94</v>
      </c>
      <c r="C288" s="4">
        <v>10</v>
      </c>
      <c r="D288" s="6">
        <v>2</v>
      </c>
      <c r="E288" s="4">
        <f t="shared" ca="1" si="55"/>
        <v>60</v>
      </c>
      <c r="F288" s="4" t="s">
        <v>11</v>
      </c>
      <c r="G288" s="8">
        <v>15.4</v>
      </c>
      <c r="H288" s="8">
        <v>16.100000000000001</v>
      </c>
      <c r="J288" s="4" t="s">
        <v>293</v>
      </c>
      <c r="K288" s="4" t="e">
        <f>SKEW(F279:F413)</f>
        <v>#DIV/0!</v>
      </c>
      <c r="L288" s="4">
        <f>SKEW(G279:G413)</f>
        <v>7.4037640034097088E-2</v>
      </c>
      <c r="N288" s="4" t="s">
        <v>294</v>
      </c>
      <c r="O288" s="4" t="e">
        <f>[1]!DAGOSTINO(F279:F413)</f>
        <v>#N/A</v>
      </c>
      <c r="P288" s="4">
        <f>[1]!DAGOSTINO(G279:G413)</f>
        <v>0.13343399646214374</v>
      </c>
      <c r="R288" s="22">
        <v>17.600000000000001</v>
      </c>
      <c r="S288" s="4">
        <v>37.770000000000003</v>
      </c>
      <c r="T288" s="4">
        <v>16.78</v>
      </c>
      <c r="U288" s="4">
        <v>33.1</v>
      </c>
      <c r="V288" s="23">
        <v>17.62</v>
      </c>
    </row>
    <row r="289" spans="1:22">
      <c r="A289" s="4">
        <v>11</v>
      </c>
      <c r="B289" s="4" t="s">
        <v>95</v>
      </c>
      <c r="C289" s="4">
        <v>11</v>
      </c>
      <c r="D289" s="6">
        <v>2</v>
      </c>
      <c r="E289" s="4">
        <f t="shared" ca="1" si="55"/>
        <v>46</v>
      </c>
      <c r="F289" s="4" t="s">
        <v>11</v>
      </c>
      <c r="G289" s="8">
        <v>18.2</v>
      </c>
      <c r="H289" s="8">
        <v>18.5</v>
      </c>
      <c r="J289" s="4" t="s">
        <v>295</v>
      </c>
      <c r="K289" s="4">
        <f>K290-K291</f>
        <v>0</v>
      </c>
      <c r="L289" s="4">
        <f>L290-L291</f>
        <v>46.879999999999995</v>
      </c>
      <c r="N289" s="4" t="s">
        <v>23</v>
      </c>
      <c r="O289" s="4" t="e">
        <f>[1]!DPTEST(F279:F413)</f>
        <v>#N/A</v>
      </c>
      <c r="P289" s="4">
        <f>[1]!DPTEST(G279:G413)</f>
        <v>0.93545990068647344</v>
      </c>
      <c r="R289" s="22">
        <v>22.3</v>
      </c>
      <c r="S289" s="4">
        <v>47.48</v>
      </c>
      <c r="T289" s="4">
        <v>25.34</v>
      </c>
      <c r="U289" s="4">
        <v>28.92</v>
      </c>
      <c r="V289" s="23">
        <v>16.920000000000002</v>
      </c>
    </row>
    <row r="290" spans="1:22">
      <c r="A290" s="4">
        <v>12</v>
      </c>
      <c r="B290" s="4" t="s">
        <v>97</v>
      </c>
      <c r="C290" s="4">
        <v>12</v>
      </c>
      <c r="D290" s="6">
        <v>2</v>
      </c>
      <c r="E290" s="4">
        <f t="shared" ca="1" si="55"/>
        <v>30</v>
      </c>
      <c r="F290" s="4" t="s">
        <v>11</v>
      </c>
      <c r="G290" s="8">
        <v>15.2</v>
      </c>
      <c r="H290" s="8">
        <v>14.6</v>
      </c>
      <c r="J290" s="4" t="s">
        <v>7</v>
      </c>
      <c r="K290" s="4">
        <f>MAX(F279:F413)</f>
        <v>0</v>
      </c>
      <c r="L290" s="4">
        <f>MAX(G279:G413)</f>
        <v>47.48</v>
      </c>
      <c r="N290" s="4" t="s">
        <v>286</v>
      </c>
      <c r="O290" s="4">
        <v>0.05</v>
      </c>
      <c r="P290" s="4">
        <v>0.05</v>
      </c>
      <c r="R290" s="22">
        <v>15.4</v>
      </c>
      <c r="S290" s="4">
        <v>39.42</v>
      </c>
      <c r="T290" s="4">
        <v>26.96</v>
      </c>
      <c r="U290" s="4">
        <v>23.55</v>
      </c>
      <c r="V290" s="23">
        <v>15.04</v>
      </c>
    </row>
    <row r="291" spans="1:22">
      <c r="A291" s="4">
        <v>13</v>
      </c>
      <c r="B291" s="4" t="s">
        <v>104</v>
      </c>
      <c r="C291" s="4">
        <v>13</v>
      </c>
      <c r="D291" s="6">
        <v>1</v>
      </c>
      <c r="E291" s="4">
        <f t="shared" ca="1" si="55"/>
        <v>56</v>
      </c>
      <c r="F291" s="4" t="s">
        <v>11</v>
      </c>
      <c r="G291" s="8">
        <v>20.6</v>
      </c>
      <c r="H291" s="8">
        <v>20.8</v>
      </c>
      <c r="J291" s="4" t="s">
        <v>8</v>
      </c>
      <c r="K291" s="4">
        <f>MIN(F279:F413)</f>
        <v>0</v>
      </c>
      <c r="L291" s="4">
        <f>MIN(G279:G413)</f>
        <v>0.6</v>
      </c>
      <c r="N291" s="4" t="s">
        <v>288</v>
      </c>
      <c r="O291" s="32" t="e">
        <f>IF(O289&lt;O290,"no","yes")</f>
        <v>#N/A</v>
      </c>
      <c r="P291" s="32" t="str">
        <f>IF(P289&lt;P290,"no","yes")</f>
        <v>yes</v>
      </c>
      <c r="R291" s="22">
        <v>18.2</v>
      </c>
      <c r="S291" s="4">
        <v>37.340000000000003</v>
      </c>
      <c r="T291" s="4">
        <v>22.74</v>
      </c>
      <c r="U291" s="4">
        <v>10.3</v>
      </c>
      <c r="V291" s="23">
        <v>17.68</v>
      </c>
    </row>
    <row r="292" spans="1:22">
      <c r="A292" s="4">
        <v>14</v>
      </c>
      <c r="B292" s="4" t="s">
        <v>106</v>
      </c>
      <c r="C292" s="4">
        <v>14</v>
      </c>
      <c r="D292" s="6">
        <v>2</v>
      </c>
      <c r="E292" s="4">
        <f t="shared" ca="1" si="55"/>
        <v>57</v>
      </c>
      <c r="F292" s="4" t="s">
        <v>11</v>
      </c>
      <c r="G292" s="8">
        <v>24.5</v>
      </c>
      <c r="H292" s="8">
        <v>23</v>
      </c>
      <c r="J292" s="4" t="s">
        <v>129</v>
      </c>
      <c r="K292" s="4">
        <f>SUM(F279:F413)</f>
        <v>0</v>
      </c>
      <c r="L292" s="4">
        <f>SUM(G279:G413)</f>
        <v>3014.0499999999988</v>
      </c>
      <c r="R292" s="22">
        <v>15.2</v>
      </c>
      <c r="S292" s="4">
        <v>20.89</v>
      </c>
      <c r="T292" s="4">
        <v>28.43</v>
      </c>
      <c r="U292" s="4">
        <v>25.07</v>
      </c>
      <c r="V292" s="23">
        <v>22.61</v>
      </c>
    </row>
    <row r="293" spans="1:22">
      <c r="A293" s="4">
        <v>15</v>
      </c>
      <c r="B293" s="4" t="s">
        <v>121</v>
      </c>
      <c r="C293" s="4">
        <v>15</v>
      </c>
      <c r="D293" s="6">
        <v>1</v>
      </c>
      <c r="E293" s="4">
        <f t="shared" ca="1" si="55"/>
        <v>45</v>
      </c>
      <c r="F293" s="4" t="s">
        <v>11</v>
      </c>
      <c r="G293" s="8">
        <v>20.399999999999999</v>
      </c>
      <c r="H293" s="8">
        <v>19.3</v>
      </c>
      <c r="J293" s="4" t="s">
        <v>116</v>
      </c>
      <c r="K293" s="4">
        <f>COUNT(F279:F413)</f>
        <v>0</v>
      </c>
      <c r="L293" s="4">
        <f>COUNT(G279:G413)</f>
        <v>135</v>
      </c>
      <c r="R293" s="22">
        <v>20.6</v>
      </c>
      <c r="S293" s="4">
        <v>33.75</v>
      </c>
      <c r="T293" s="4">
        <v>36.29</v>
      </c>
      <c r="U293" s="4">
        <v>8.67</v>
      </c>
      <c r="V293" s="23">
        <v>25.49</v>
      </c>
    </row>
    <row r="294" spans="1:22">
      <c r="A294" s="4">
        <v>16</v>
      </c>
      <c r="B294" s="4" t="s">
        <v>124</v>
      </c>
      <c r="C294" s="4">
        <v>16</v>
      </c>
      <c r="D294" s="6">
        <v>1</v>
      </c>
      <c r="E294" s="4">
        <f t="shared" ca="1" si="55"/>
        <v>32</v>
      </c>
      <c r="F294" s="4" t="s">
        <v>11</v>
      </c>
      <c r="G294" s="8">
        <v>16.7</v>
      </c>
      <c r="H294" s="8">
        <v>16.600000000000001</v>
      </c>
      <c r="J294" s="4" t="s">
        <v>296</v>
      </c>
      <c r="K294" s="4" t="e">
        <f>GEOMEAN(F279:F413)</f>
        <v>#NUM!</v>
      </c>
      <c r="L294" s="4">
        <f>GEOMEAN(G279:G413)</f>
        <v>19.854867851336149</v>
      </c>
      <c r="R294" s="22">
        <v>24.5</v>
      </c>
      <c r="S294" s="4">
        <v>21.79</v>
      </c>
      <c r="T294" s="4">
        <v>22.83</v>
      </c>
      <c r="U294" s="4">
        <v>19.98</v>
      </c>
      <c r="V294" s="23">
        <v>13.39</v>
      </c>
    </row>
    <row r="295" spans="1:22">
      <c r="A295" s="4">
        <v>17</v>
      </c>
      <c r="B295" s="4" t="s">
        <v>128</v>
      </c>
      <c r="C295" s="4">
        <v>17</v>
      </c>
      <c r="D295" s="6">
        <v>2</v>
      </c>
      <c r="E295" s="4">
        <f t="shared" ca="1" si="55"/>
        <v>57</v>
      </c>
      <c r="F295" s="4" t="s">
        <v>11</v>
      </c>
      <c r="G295" s="8">
        <v>21.5</v>
      </c>
      <c r="H295" s="8">
        <v>21.5</v>
      </c>
      <c r="J295" s="4" t="s">
        <v>298</v>
      </c>
      <c r="K295" s="4" t="e">
        <f>HARMEAN(F279:F413)</f>
        <v>#N/A</v>
      </c>
      <c r="L295" s="4">
        <f>HARMEAN(G279:G413)</f>
        <v>14.398686715263052</v>
      </c>
      <c r="R295" s="22">
        <v>20.399999999999999</v>
      </c>
      <c r="S295" s="4">
        <v>23.85</v>
      </c>
      <c r="T295" s="4">
        <v>20.350000000000001</v>
      </c>
      <c r="U295" s="4">
        <v>15.68</v>
      </c>
      <c r="V295" s="23">
        <v>33.1</v>
      </c>
    </row>
    <row r="296" spans="1:22">
      <c r="A296" s="4">
        <v>18</v>
      </c>
      <c r="B296" s="4" t="s">
        <v>134</v>
      </c>
      <c r="C296" s="4">
        <v>18</v>
      </c>
      <c r="D296" s="6">
        <v>1</v>
      </c>
      <c r="E296" s="4">
        <f t="shared" ca="1" si="55"/>
        <v>46</v>
      </c>
      <c r="F296" s="4" t="s">
        <v>11</v>
      </c>
      <c r="G296" s="8">
        <v>22.4</v>
      </c>
      <c r="H296" s="8">
        <v>21</v>
      </c>
      <c r="J296" s="4" t="s">
        <v>302</v>
      </c>
      <c r="K296" s="4" t="e">
        <f>AVEDEV(F279:F413)</f>
        <v>#NUM!</v>
      </c>
      <c r="L296" s="4">
        <f>AVEDEV(G279:G413)</f>
        <v>7.0728230452674898</v>
      </c>
      <c r="R296" s="22">
        <v>16.7</v>
      </c>
      <c r="S296" s="4">
        <v>21.24</v>
      </c>
      <c r="T296" s="4">
        <v>15.67</v>
      </c>
      <c r="U296" s="4">
        <v>4.4800000000000004</v>
      </c>
      <c r="V296" s="23">
        <v>21.67</v>
      </c>
    </row>
    <row r="297" spans="1:22">
      <c r="A297" s="4">
        <v>19</v>
      </c>
      <c r="B297" s="4" t="s">
        <v>139</v>
      </c>
      <c r="C297" s="4">
        <v>19</v>
      </c>
      <c r="D297" s="6">
        <v>2</v>
      </c>
      <c r="E297" s="4">
        <f t="shared" ca="1" si="55"/>
        <v>21</v>
      </c>
      <c r="F297" s="4" t="s">
        <v>11</v>
      </c>
      <c r="G297" s="8">
        <v>16.100000000000001</v>
      </c>
      <c r="H297" s="8">
        <v>15.9</v>
      </c>
      <c r="J297" s="4" t="s">
        <v>303</v>
      </c>
      <c r="K297" s="4" t="e">
        <f>[1]!MAD(F279:F413)</f>
        <v>#VALUE!</v>
      </c>
      <c r="L297" s="4">
        <f>[1]!MAD(G279:G413)</f>
        <v>5.91</v>
      </c>
      <c r="R297" s="22">
        <v>21.5</v>
      </c>
      <c r="S297" s="4">
        <v>32.19</v>
      </c>
      <c r="T297" s="4">
        <v>7.96</v>
      </c>
      <c r="U297" s="4">
        <v>33.17</v>
      </c>
      <c r="V297" s="23">
        <v>29.94</v>
      </c>
    </row>
    <row r="298" spans="1:22">
      <c r="A298" s="4">
        <v>20</v>
      </c>
      <c r="B298" s="4" t="s">
        <v>140</v>
      </c>
      <c r="C298" s="4">
        <v>20</v>
      </c>
      <c r="D298" s="6">
        <v>2</v>
      </c>
      <c r="E298" s="4">
        <f t="shared" ca="1" si="55"/>
        <v>51</v>
      </c>
      <c r="F298" s="4" t="s">
        <v>11</v>
      </c>
      <c r="G298" s="8">
        <v>0.6</v>
      </c>
      <c r="H298" s="8">
        <v>9.5</v>
      </c>
      <c r="J298" s="4" t="s">
        <v>9</v>
      </c>
      <c r="K298" s="4" t="e">
        <f>[1]!IQR(F279:F413,FALSE)</f>
        <v>#VALUE!</v>
      </c>
      <c r="L298" s="4">
        <f>[1]!IQR(G279:G413,FALSE)</f>
        <v>11.365000000000002</v>
      </c>
      <c r="R298" s="22">
        <v>22.4</v>
      </c>
      <c r="S298" s="4">
        <v>22.66</v>
      </c>
      <c r="T298" s="4">
        <v>22.96</v>
      </c>
      <c r="U298" s="4">
        <v>27.64</v>
      </c>
      <c r="V298" s="23">
        <v>27.89</v>
      </c>
    </row>
    <row r="299" spans="1:22">
      <c r="A299" s="4">
        <v>21</v>
      </c>
      <c r="B299" s="4" t="s">
        <v>142</v>
      </c>
      <c r="C299" s="4">
        <v>21</v>
      </c>
      <c r="D299" s="6">
        <v>2</v>
      </c>
      <c r="E299" s="4">
        <f t="shared" ca="1" si="55"/>
        <v>47</v>
      </c>
      <c r="F299" s="4" t="s">
        <v>11</v>
      </c>
      <c r="G299" s="8">
        <v>23.1</v>
      </c>
      <c r="H299" s="8">
        <v>24.1</v>
      </c>
      <c r="R299" s="22">
        <v>16.100000000000001</v>
      </c>
      <c r="S299" s="4">
        <v>21.84</v>
      </c>
      <c r="T299" s="4">
        <v>27.89</v>
      </c>
      <c r="U299" s="4">
        <v>15.7</v>
      </c>
      <c r="V299" s="23">
        <v>31.99</v>
      </c>
    </row>
    <row r="300" spans="1:22">
      <c r="A300" s="4">
        <v>22</v>
      </c>
      <c r="B300" s="4" t="s">
        <v>145</v>
      </c>
      <c r="C300" s="4">
        <v>22</v>
      </c>
      <c r="D300" s="6">
        <v>1</v>
      </c>
      <c r="E300" s="4">
        <f t="shared" ca="1" si="55"/>
        <v>58</v>
      </c>
      <c r="F300" s="4" t="s">
        <v>11</v>
      </c>
      <c r="G300" s="8">
        <v>14.4</v>
      </c>
      <c r="H300" s="8">
        <v>14.7</v>
      </c>
      <c r="R300" s="22">
        <v>0.6</v>
      </c>
      <c r="S300" s="4">
        <v>28.89</v>
      </c>
      <c r="T300" s="4">
        <v>16.25</v>
      </c>
      <c r="U300" s="4">
        <v>11.46</v>
      </c>
      <c r="V300" s="23">
        <v>32.96</v>
      </c>
    </row>
    <row r="301" spans="1:22">
      <c r="A301" s="4">
        <v>23</v>
      </c>
      <c r="B301" s="4" t="s">
        <v>150</v>
      </c>
      <c r="C301" s="4">
        <v>23</v>
      </c>
      <c r="D301" s="6">
        <v>1</v>
      </c>
      <c r="E301" s="4">
        <f t="shared" ca="1" si="55"/>
        <v>28</v>
      </c>
      <c r="F301" s="4" t="s">
        <v>11</v>
      </c>
      <c r="G301" s="8">
        <v>16.3</v>
      </c>
      <c r="H301" s="8">
        <v>16.899999999999999</v>
      </c>
      <c r="R301" s="22">
        <v>23.1</v>
      </c>
      <c r="S301" s="4">
        <v>33.89</v>
      </c>
      <c r="T301" s="4">
        <v>26.19</v>
      </c>
      <c r="U301" s="4">
        <v>16.61</v>
      </c>
      <c r="V301" s="23">
        <v>8.9</v>
      </c>
    </row>
    <row r="302" spans="1:22">
      <c r="A302" s="4">
        <v>24</v>
      </c>
      <c r="B302" s="4" t="s">
        <v>152</v>
      </c>
      <c r="C302" s="4">
        <v>24</v>
      </c>
      <c r="D302" s="6">
        <v>1</v>
      </c>
      <c r="E302" s="4">
        <f t="shared" ca="1" si="55"/>
        <v>58</v>
      </c>
      <c r="F302" s="4" t="s">
        <v>11</v>
      </c>
      <c r="G302" s="8">
        <v>15.2</v>
      </c>
      <c r="H302" s="8">
        <v>14.9</v>
      </c>
      <c r="R302" s="22">
        <v>14.4</v>
      </c>
      <c r="S302" s="4">
        <v>36.15</v>
      </c>
      <c r="T302" s="4">
        <v>40.17</v>
      </c>
      <c r="U302" s="4">
        <v>22.13</v>
      </c>
      <c r="V302" s="23">
        <v>12.52</v>
      </c>
    </row>
    <row r="303" spans="1:22">
      <c r="A303" s="4">
        <v>25</v>
      </c>
      <c r="B303" s="4" t="s">
        <v>153</v>
      </c>
      <c r="C303" s="4">
        <v>25</v>
      </c>
      <c r="D303" s="6">
        <v>2</v>
      </c>
      <c r="E303" s="4">
        <f t="shared" ca="1" si="55"/>
        <v>23</v>
      </c>
      <c r="F303" s="4" t="s">
        <v>11</v>
      </c>
      <c r="G303" s="8">
        <v>18.3</v>
      </c>
      <c r="H303" s="8">
        <v>19</v>
      </c>
      <c r="R303" s="22">
        <v>16.3</v>
      </c>
      <c r="S303" s="4">
        <v>39.549999999999997</v>
      </c>
      <c r="T303" s="4">
        <v>26.55</v>
      </c>
      <c r="U303" s="4">
        <v>23.95</v>
      </c>
      <c r="V303" s="23">
        <v>32.85</v>
      </c>
    </row>
    <row r="304" spans="1:22">
      <c r="A304" s="4">
        <v>26</v>
      </c>
      <c r="B304" s="4" t="s">
        <v>159</v>
      </c>
      <c r="C304" s="4">
        <v>26</v>
      </c>
      <c r="D304" s="6">
        <v>2</v>
      </c>
      <c r="E304" s="4">
        <f t="shared" ca="1" si="55"/>
        <v>63</v>
      </c>
      <c r="F304" s="4" t="s">
        <v>11</v>
      </c>
      <c r="G304" s="8">
        <v>15.5</v>
      </c>
      <c r="H304" s="8">
        <v>15</v>
      </c>
      <c r="R304" s="22">
        <v>15.2</v>
      </c>
      <c r="S304" s="4">
        <v>25.81</v>
      </c>
      <c r="T304" s="4">
        <v>23.54</v>
      </c>
      <c r="U304" s="4">
        <v>19.28</v>
      </c>
      <c r="V304" s="23">
        <v>28.43</v>
      </c>
    </row>
    <row r="305" spans="1:22">
      <c r="A305" s="4">
        <v>27</v>
      </c>
      <c r="B305" s="4" t="s">
        <v>163</v>
      </c>
      <c r="C305" s="4">
        <v>27</v>
      </c>
      <c r="D305" s="6">
        <v>1</v>
      </c>
      <c r="E305" s="4">
        <f t="shared" ca="1" si="55"/>
        <v>49</v>
      </c>
      <c r="F305" s="4" t="s">
        <v>11</v>
      </c>
      <c r="G305" s="8">
        <v>10.5</v>
      </c>
      <c r="H305" s="8">
        <v>9.5</v>
      </c>
      <c r="R305" s="22">
        <v>18.3</v>
      </c>
      <c r="S305" s="4">
        <v>27.64</v>
      </c>
      <c r="T305" s="4">
        <v>23.19</v>
      </c>
      <c r="U305" s="4">
        <v>27.47</v>
      </c>
      <c r="V305" s="23">
        <v>30.12</v>
      </c>
    </row>
    <row r="306" spans="1:22">
      <c r="A306" s="4">
        <v>1</v>
      </c>
      <c r="B306" s="4" t="s">
        <v>166</v>
      </c>
      <c r="C306" s="4">
        <v>28</v>
      </c>
      <c r="D306" s="5">
        <v>2</v>
      </c>
      <c r="E306" s="4">
        <f t="shared" ca="1" si="55"/>
        <v>66</v>
      </c>
      <c r="F306" s="4" t="s">
        <v>12</v>
      </c>
      <c r="G306" s="4">
        <v>26.56</v>
      </c>
      <c r="H306" s="4">
        <v>24.3</v>
      </c>
      <c r="R306" s="22">
        <v>15.5</v>
      </c>
      <c r="S306" s="4">
        <v>29.49</v>
      </c>
      <c r="T306" s="4">
        <v>28.43</v>
      </c>
      <c r="U306" s="4">
        <v>11.31</v>
      </c>
      <c r="V306" s="23">
        <v>26.43</v>
      </c>
    </row>
    <row r="307" spans="1:22">
      <c r="A307" s="4">
        <v>2</v>
      </c>
      <c r="B307" s="4" t="s">
        <v>168</v>
      </c>
      <c r="C307" s="4">
        <v>29</v>
      </c>
      <c r="D307" s="5">
        <v>2</v>
      </c>
      <c r="E307" s="4">
        <f t="shared" ca="1" si="55"/>
        <v>65</v>
      </c>
      <c r="F307" s="4" t="s">
        <v>12</v>
      </c>
      <c r="G307" s="4">
        <v>33.4</v>
      </c>
      <c r="H307" s="4">
        <v>39.03</v>
      </c>
      <c r="R307" s="18">
        <v>10.5</v>
      </c>
      <c r="S307" s="39">
        <v>24.58</v>
      </c>
      <c r="T307" s="39">
        <v>30.61</v>
      </c>
      <c r="U307" s="39">
        <v>8.26</v>
      </c>
      <c r="V307" s="19">
        <v>26.48</v>
      </c>
    </row>
    <row r="308" spans="1:22">
      <c r="A308" s="4">
        <v>3</v>
      </c>
      <c r="B308" s="4" t="s">
        <v>169</v>
      </c>
      <c r="C308" s="4">
        <v>30</v>
      </c>
      <c r="D308" s="5">
        <v>2</v>
      </c>
      <c r="E308" s="4">
        <f t="shared" ca="1" si="55"/>
        <v>38</v>
      </c>
      <c r="F308" s="4" t="s">
        <v>12</v>
      </c>
      <c r="G308" s="4">
        <v>43.01</v>
      </c>
      <c r="H308" s="4">
        <v>33.4</v>
      </c>
    </row>
    <row r="309" spans="1:22">
      <c r="A309" s="4">
        <v>4</v>
      </c>
      <c r="B309" s="4" t="s">
        <v>170</v>
      </c>
      <c r="C309" s="4">
        <v>31</v>
      </c>
      <c r="D309" s="5">
        <v>2</v>
      </c>
      <c r="E309" s="4">
        <f t="shared" ca="1" si="55"/>
        <v>51</v>
      </c>
      <c r="F309" s="4" t="s">
        <v>12</v>
      </c>
      <c r="G309" s="4">
        <v>38.340000000000003</v>
      </c>
      <c r="H309" s="4">
        <v>38.19</v>
      </c>
    </row>
    <row r="310" spans="1:22">
      <c r="A310" s="4">
        <v>5</v>
      </c>
      <c r="B310" s="4" t="s">
        <v>172</v>
      </c>
      <c r="C310" s="4">
        <v>32</v>
      </c>
      <c r="D310" s="5">
        <v>2</v>
      </c>
      <c r="E310" s="4">
        <f t="shared" ca="1" si="55"/>
        <v>55</v>
      </c>
      <c r="F310" s="4" t="s">
        <v>12</v>
      </c>
      <c r="G310" s="4">
        <v>35.549999999999997</v>
      </c>
      <c r="H310" s="4">
        <v>27.5</v>
      </c>
    </row>
    <row r="311" spans="1:22">
      <c r="A311" s="4">
        <v>6</v>
      </c>
      <c r="B311" s="4" t="s">
        <v>173</v>
      </c>
      <c r="C311" s="4">
        <v>33</v>
      </c>
      <c r="D311" s="5">
        <v>2</v>
      </c>
      <c r="E311" s="4">
        <f t="shared" ca="1" si="55"/>
        <v>45</v>
      </c>
      <c r="F311" s="4" t="s">
        <v>12</v>
      </c>
      <c r="G311" s="4">
        <v>26.82</v>
      </c>
      <c r="H311" s="4">
        <v>24.88</v>
      </c>
    </row>
    <row r="312" spans="1:22">
      <c r="A312" s="4">
        <v>7</v>
      </c>
      <c r="B312" s="4" t="s">
        <v>174</v>
      </c>
      <c r="C312" s="4">
        <v>34</v>
      </c>
      <c r="D312" s="5">
        <v>2</v>
      </c>
      <c r="E312" s="4">
        <f t="shared" ca="1" si="55"/>
        <v>35</v>
      </c>
      <c r="F312" s="4" t="s">
        <v>12</v>
      </c>
      <c r="G312" s="4">
        <v>18.079999999999998</v>
      </c>
      <c r="H312" s="4">
        <v>32.909999999999997</v>
      </c>
    </row>
    <row r="313" spans="1:22">
      <c r="A313" s="4">
        <v>8</v>
      </c>
      <c r="B313" s="4" t="s">
        <v>177</v>
      </c>
      <c r="C313" s="4">
        <v>35</v>
      </c>
      <c r="D313" s="5">
        <v>2</v>
      </c>
      <c r="E313" s="4">
        <f t="shared" ca="1" si="55"/>
        <v>70</v>
      </c>
      <c r="F313" s="4" t="s">
        <v>12</v>
      </c>
      <c r="G313" s="4">
        <v>37.770000000000003</v>
      </c>
      <c r="H313" s="4">
        <v>16.96</v>
      </c>
    </row>
    <row r="314" spans="1:22">
      <c r="A314" s="4">
        <v>9</v>
      </c>
      <c r="B314" s="4" t="s">
        <v>178</v>
      </c>
      <c r="C314" s="4">
        <v>36</v>
      </c>
      <c r="D314" s="5">
        <v>2</v>
      </c>
      <c r="E314" s="4">
        <f t="shared" ca="1" si="55"/>
        <v>18</v>
      </c>
      <c r="F314" s="4" t="s">
        <v>12</v>
      </c>
      <c r="G314" s="4">
        <v>47.48</v>
      </c>
      <c r="H314" s="4">
        <v>27.09</v>
      </c>
    </row>
    <row r="315" spans="1:22">
      <c r="A315" s="4">
        <v>10</v>
      </c>
      <c r="B315" s="4" t="s">
        <v>179</v>
      </c>
      <c r="C315" s="4">
        <v>37</v>
      </c>
      <c r="D315" s="5">
        <v>2</v>
      </c>
      <c r="E315" s="4">
        <f t="shared" ca="1" si="55"/>
        <v>58</v>
      </c>
      <c r="F315" s="4" t="s">
        <v>12</v>
      </c>
      <c r="G315" s="4">
        <v>39.42</v>
      </c>
      <c r="H315" s="4">
        <v>53.56</v>
      </c>
    </row>
    <row r="316" spans="1:22">
      <c r="A316" s="4">
        <v>11</v>
      </c>
      <c r="B316" s="4" t="s">
        <v>180</v>
      </c>
      <c r="C316" s="4">
        <v>38</v>
      </c>
      <c r="D316" s="5">
        <v>2</v>
      </c>
      <c r="E316" s="4">
        <f t="shared" ca="1" si="55"/>
        <v>18</v>
      </c>
      <c r="F316" s="4" t="s">
        <v>12</v>
      </c>
      <c r="G316" s="4">
        <v>37.340000000000003</v>
      </c>
      <c r="H316" s="4">
        <v>42.08</v>
      </c>
    </row>
    <row r="317" spans="1:22">
      <c r="A317" s="4">
        <v>12</v>
      </c>
      <c r="B317" s="4" t="s">
        <v>182</v>
      </c>
      <c r="C317" s="4">
        <v>39</v>
      </c>
      <c r="D317" s="5">
        <v>2</v>
      </c>
      <c r="E317" s="4">
        <f t="shared" ca="1" si="55"/>
        <v>49</v>
      </c>
      <c r="F317" s="4" t="s">
        <v>12</v>
      </c>
      <c r="G317" s="4">
        <v>20.89</v>
      </c>
      <c r="H317" s="4">
        <v>31.79</v>
      </c>
    </row>
    <row r="318" spans="1:22">
      <c r="A318" s="4">
        <v>13</v>
      </c>
      <c r="B318" s="4" t="s">
        <v>183</v>
      </c>
      <c r="C318" s="4">
        <v>40</v>
      </c>
      <c r="D318" s="5">
        <v>2</v>
      </c>
      <c r="E318" s="4">
        <f t="shared" ca="1" si="55"/>
        <v>44</v>
      </c>
      <c r="F318" s="4" t="s">
        <v>12</v>
      </c>
      <c r="G318" s="4">
        <v>33.75</v>
      </c>
      <c r="H318" s="4">
        <v>35.869999999999997</v>
      </c>
    </row>
    <row r="319" spans="1:22">
      <c r="A319" s="4">
        <v>14</v>
      </c>
      <c r="B319" s="4" t="s">
        <v>184</v>
      </c>
      <c r="C319" s="4">
        <v>41</v>
      </c>
      <c r="D319" s="5">
        <v>2</v>
      </c>
      <c r="E319" s="4">
        <f t="shared" ca="1" si="55"/>
        <v>26</v>
      </c>
      <c r="F319" s="4" t="s">
        <v>12</v>
      </c>
      <c r="G319" s="4">
        <v>21.79</v>
      </c>
      <c r="H319" s="4">
        <v>20.89</v>
      </c>
    </row>
    <row r="320" spans="1:22">
      <c r="A320" s="4">
        <v>15</v>
      </c>
      <c r="B320" s="4" t="s">
        <v>185</v>
      </c>
      <c r="C320" s="4">
        <v>42</v>
      </c>
      <c r="D320" s="5">
        <v>2</v>
      </c>
      <c r="E320" s="4">
        <f t="shared" ca="1" si="55"/>
        <v>53</v>
      </c>
      <c r="F320" s="4" t="s">
        <v>12</v>
      </c>
      <c r="G320" s="4">
        <v>23.85</v>
      </c>
      <c r="H320" s="4">
        <v>21.8</v>
      </c>
    </row>
    <row r="321" spans="1:8">
      <c r="A321" s="4">
        <v>16</v>
      </c>
      <c r="B321" s="4" t="s">
        <v>186</v>
      </c>
      <c r="C321" s="4">
        <v>43</v>
      </c>
      <c r="D321" s="5">
        <v>2</v>
      </c>
      <c r="E321" s="4">
        <f t="shared" ca="1" si="55"/>
        <v>34</v>
      </c>
      <c r="F321" s="4" t="s">
        <v>12</v>
      </c>
      <c r="G321" s="4">
        <v>21.24</v>
      </c>
      <c r="H321" s="4">
        <v>34.58</v>
      </c>
    </row>
    <row r="322" spans="1:8">
      <c r="A322" s="4">
        <v>17</v>
      </c>
      <c r="B322" s="4" t="s">
        <v>187</v>
      </c>
      <c r="C322" s="4">
        <v>44</v>
      </c>
      <c r="D322" s="5">
        <v>1</v>
      </c>
      <c r="E322" s="4">
        <f t="shared" ca="1" si="55"/>
        <v>30</v>
      </c>
      <c r="F322" s="4" t="s">
        <v>12</v>
      </c>
      <c r="G322" s="4">
        <v>32.19</v>
      </c>
      <c r="H322" s="4">
        <v>28.17</v>
      </c>
    </row>
    <row r="323" spans="1:8">
      <c r="A323" s="4">
        <v>18</v>
      </c>
      <c r="B323" s="4" t="s">
        <v>188</v>
      </c>
      <c r="C323" s="4">
        <v>45</v>
      </c>
      <c r="D323" s="5">
        <v>1</v>
      </c>
      <c r="E323" s="4">
        <f t="shared" ca="1" si="55"/>
        <v>58</v>
      </c>
      <c r="F323" s="4" t="s">
        <v>12</v>
      </c>
      <c r="G323" s="4">
        <v>22.66</v>
      </c>
      <c r="H323" s="4">
        <v>22.02</v>
      </c>
    </row>
    <row r="324" spans="1:8">
      <c r="A324" s="4">
        <v>19</v>
      </c>
      <c r="B324" s="4" t="s">
        <v>189</v>
      </c>
      <c r="C324" s="4">
        <v>46</v>
      </c>
      <c r="D324" s="5">
        <v>2</v>
      </c>
      <c r="E324" s="4">
        <f t="shared" ca="1" si="55"/>
        <v>67</v>
      </c>
      <c r="F324" s="4" t="s">
        <v>12</v>
      </c>
      <c r="G324" s="4">
        <v>21.84</v>
      </c>
      <c r="H324" s="4">
        <v>10.89</v>
      </c>
    </row>
    <row r="325" spans="1:8">
      <c r="A325" s="4">
        <v>20</v>
      </c>
      <c r="B325" s="4" t="s">
        <v>190</v>
      </c>
      <c r="C325" s="4">
        <v>47</v>
      </c>
      <c r="D325" s="5">
        <v>1</v>
      </c>
      <c r="E325" s="4">
        <f t="shared" ca="1" si="55"/>
        <v>52</v>
      </c>
      <c r="F325" s="4" t="s">
        <v>12</v>
      </c>
      <c r="G325" s="4">
        <v>28.89</v>
      </c>
      <c r="H325" s="4">
        <v>30.78</v>
      </c>
    </row>
    <row r="326" spans="1:8">
      <c r="A326" s="4">
        <v>21</v>
      </c>
      <c r="B326" s="4" t="s">
        <v>191</v>
      </c>
      <c r="C326" s="4">
        <v>48</v>
      </c>
      <c r="D326" s="5">
        <v>1</v>
      </c>
      <c r="E326" s="4">
        <f t="shared" ca="1" si="55"/>
        <v>58</v>
      </c>
      <c r="F326" s="4" t="s">
        <v>12</v>
      </c>
      <c r="G326" s="4">
        <v>33.89</v>
      </c>
      <c r="H326" s="4">
        <v>32.479999999999997</v>
      </c>
    </row>
    <row r="327" spans="1:8">
      <c r="A327" s="4">
        <v>22</v>
      </c>
      <c r="B327" s="4" t="s">
        <v>192</v>
      </c>
      <c r="C327" s="4">
        <v>49</v>
      </c>
      <c r="D327" s="5">
        <v>1</v>
      </c>
      <c r="E327" s="4">
        <f t="shared" ca="1" si="55"/>
        <v>19</v>
      </c>
      <c r="F327" s="4" t="s">
        <v>12</v>
      </c>
      <c r="G327" s="4">
        <v>36.15</v>
      </c>
      <c r="H327" s="4">
        <v>49.96</v>
      </c>
    </row>
    <row r="328" spans="1:8">
      <c r="A328" s="4">
        <v>23</v>
      </c>
      <c r="B328" s="4" t="s">
        <v>193</v>
      </c>
      <c r="C328" s="4">
        <v>50</v>
      </c>
      <c r="D328" s="5">
        <v>1</v>
      </c>
      <c r="E328" s="4">
        <f t="shared" ca="1" si="55"/>
        <v>25</v>
      </c>
      <c r="F328" s="4" t="s">
        <v>12</v>
      </c>
      <c r="G328" s="4">
        <v>39.549999999999997</v>
      </c>
      <c r="H328" s="4">
        <v>38.65</v>
      </c>
    </row>
    <row r="329" spans="1:8">
      <c r="A329" s="4">
        <v>24</v>
      </c>
      <c r="B329" s="4" t="s">
        <v>194</v>
      </c>
      <c r="C329" s="4">
        <v>51</v>
      </c>
      <c r="D329" s="5">
        <v>1</v>
      </c>
      <c r="E329" s="4">
        <f t="shared" ca="1" si="55"/>
        <v>44</v>
      </c>
      <c r="F329" s="4" t="s">
        <v>12</v>
      </c>
      <c r="G329" s="4">
        <v>25.81</v>
      </c>
      <c r="H329" s="4">
        <v>26.56</v>
      </c>
    </row>
    <row r="330" spans="1:8">
      <c r="A330" s="4">
        <v>25</v>
      </c>
      <c r="B330" s="4" t="s">
        <v>195</v>
      </c>
      <c r="C330" s="4">
        <v>52</v>
      </c>
      <c r="D330" s="5">
        <v>1</v>
      </c>
      <c r="E330" s="4">
        <f t="shared" ca="1" si="55"/>
        <v>70</v>
      </c>
      <c r="F330" s="4" t="s">
        <v>12</v>
      </c>
      <c r="G330" s="4">
        <v>27.64</v>
      </c>
      <c r="H330" s="4">
        <v>20.55</v>
      </c>
    </row>
    <row r="331" spans="1:8">
      <c r="A331" s="4">
        <v>26</v>
      </c>
      <c r="B331" s="4" t="s">
        <v>196</v>
      </c>
      <c r="C331" s="4">
        <v>53</v>
      </c>
      <c r="D331" s="5">
        <v>1</v>
      </c>
      <c r="E331" s="4">
        <f t="shared" ca="1" si="55"/>
        <v>53</v>
      </c>
      <c r="F331" s="4" t="s">
        <v>12</v>
      </c>
      <c r="G331" s="4">
        <v>29.49</v>
      </c>
      <c r="H331" s="4">
        <v>23.05</v>
      </c>
    </row>
    <row r="332" spans="1:8">
      <c r="A332" s="4">
        <v>27</v>
      </c>
      <c r="B332" s="4" t="s">
        <v>197</v>
      </c>
      <c r="C332" s="4">
        <v>54</v>
      </c>
      <c r="D332" s="5">
        <v>1</v>
      </c>
      <c r="E332" s="4">
        <f t="shared" ca="1" si="55"/>
        <v>25</v>
      </c>
      <c r="F332" s="4" t="s">
        <v>12</v>
      </c>
      <c r="G332" s="4">
        <v>24.58</v>
      </c>
      <c r="H332" s="4">
        <v>31.49</v>
      </c>
    </row>
    <row r="333" spans="1:8">
      <c r="A333" s="4">
        <v>1</v>
      </c>
      <c r="B333" s="4" t="s">
        <v>198</v>
      </c>
      <c r="C333" s="4">
        <v>55</v>
      </c>
      <c r="D333" s="5">
        <v>2</v>
      </c>
      <c r="E333" s="4">
        <f t="shared" ca="1" si="55"/>
        <v>19</v>
      </c>
      <c r="F333" s="4" t="s">
        <v>13</v>
      </c>
      <c r="G333" s="4">
        <v>26.5</v>
      </c>
      <c r="H333" s="4">
        <v>27.17</v>
      </c>
    </row>
    <row r="334" spans="1:8">
      <c r="A334" s="4">
        <v>2</v>
      </c>
      <c r="B334" s="4" t="s">
        <v>199</v>
      </c>
      <c r="C334" s="4">
        <v>56</v>
      </c>
      <c r="D334" s="5">
        <v>1</v>
      </c>
      <c r="E334" s="4">
        <f t="shared" ca="1" si="55"/>
        <v>22</v>
      </c>
      <c r="F334" s="4" t="s">
        <v>13</v>
      </c>
      <c r="G334" s="4">
        <v>27.2</v>
      </c>
      <c r="H334" s="4">
        <v>27.29</v>
      </c>
    </row>
    <row r="335" spans="1:8">
      <c r="A335" s="4">
        <v>3</v>
      </c>
      <c r="B335" s="4" t="s">
        <v>200</v>
      </c>
      <c r="C335" s="4">
        <v>57</v>
      </c>
      <c r="D335" s="5">
        <v>1</v>
      </c>
      <c r="E335" s="4">
        <f t="shared" ca="1" si="55"/>
        <v>30</v>
      </c>
      <c r="F335" s="4" t="s">
        <v>13</v>
      </c>
      <c r="G335" s="4">
        <v>24.89</v>
      </c>
      <c r="H335" s="4">
        <v>22.16</v>
      </c>
    </row>
    <row r="336" spans="1:8">
      <c r="A336" s="4">
        <v>4</v>
      </c>
      <c r="B336" s="4" t="s">
        <v>201</v>
      </c>
      <c r="C336" s="4">
        <v>58</v>
      </c>
      <c r="D336" s="5">
        <v>2</v>
      </c>
      <c r="E336" s="4">
        <f t="shared" ca="1" si="55"/>
        <v>59</v>
      </c>
      <c r="F336" s="4" t="s">
        <v>13</v>
      </c>
      <c r="G336" s="4">
        <v>17.87</v>
      </c>
      <c r="H336" s="4">
        <v>19.149999999999999</v>
      </c>
    </row>
    <row r="337" spans="1:8">
      <c r="A337" s="4">
        <v>5</v>
      </c>
      <c r="B337" s="4" t="s">
        <v>202</v>
      </c>
      <c r="C337" s="4">
        <v>59</v>
      </c>
      <c r="D337" s="5">
        <v>2</v>
      </c>
      <c r="E337" s="4">
        <f t="shared" ca="1" si="55"/>
        <v>70</v>
      </c>
      <c r="F337" s="4" t="s">
        <v>13</v>
      </c>
      <c r="G337" s="4">
        <v>9.82</v>
      </c>
      <c r="H337" s="4">
        <v>27.94</v>
      </c>
    </row>
    <row r="338" spans="1:8">
      <c r="A338" s="4">
        <v>6</v>
      </c>
      <c r="B338" s="4" t="s">
        <v>203</v>
      </c>
      <c r="C338" s="4">
        <v>60</v>
      </c>
      <c r="D338" s="5">
        <v>1</v>
      </c>
      <c r="E338" s="4">
        <f t="shared" ca="1" si="55"/>
        <v>57</v>
      </c>
      <c r="F338" s="4" t="s">
        <v>13</v>
      </c>
      <c r="G338" s="4">
        <v>34.450000000000003</v>
      </c>
      <c r="H338" s="4">
        <v>26.18</v>
      </c>
    </row>
    <row r="339" spans="1:8">
      <c r="A339" s="4">
        <v>7</v>
      </c>
      <c r="B339" s="4" t="s">
        <v>203</v>
      </c>
      <c r="C339" s="4">
        <v>61</v>
      </c>
      <c r="D339" s="5">
        <v>1</v>
      </c>
      <c r="E339" s="4">
        <f t="shared" ca="1" si="55"/>
        <v>70</v>
      </c>
      <c r="F339" s="4" t="s">
        <v>13</v>
      </c>
      <c r="G339" s="4">
        <v>4.2699999999999996</v>
      </c>
      <c r="H339" s="4">
        <v>6.01</v>
      </c>
    </row>
    <row r="340" spans="1:8">
      <c r="A340" s="4">
        <v>8</v>
      </c>
      <c r="B340" s="4" t="s">
        <v>204</v>
      </c>
      <c r="C340" s="4">
        <v>62</v>
      </c>
      <c r="D340" s="5">
        <v>1</v>
      </c>
      <c r="E340" s="4">
        <f t="shared" ca="1" si="55"/>
        <v>49</v>
      </c>
      <c r="F340" s="4" t="s">
        <v>13</v>
      </c>
      <c r="G340" s="4">
        <v>16.78</v>
      </c>
      <c r="H340" s="4">
        <v>23.57</v>
      </c>
    </row>
    <row r="341" spans="1:8">
      <c r="A341" s="4">
        <v>9</v>
      </c>
      <c r="B341" s="4" t="s">
        <v>205</v>
      </c>
      <c r="C341" s="4">
        <v>63</v>
      </c>
      <c r="D341" s="5">
        <v>1</v>
      </c>
      <c r="E341" s="4">
        <f t="shared" ca="1" si="55"/>
        <v>48</v>
      </c>
      <c r="F341" s="4" t="s">
        <v>13</v>
      </c>
      <c r="G341" s="4">
        <v>25.34</v>
      </c>
      <c r="H341" s="4">
        <v>24.22</v>
      </c>
    </row>
    <row r="342" spans="1:8">
      <c r="A342" s="4">
        <v>10</v>
      </c>
      <c r="B342" s="4" t="s">
        <v>206</v>
      </c>
      <c r="C342" s="4">
        <v>64</v>
      </c>
      <c r="D342" s="5">
        <v>1</v>
      </c>
      <c r="E342" s="4">
        <f t="shared" ca="1" si="55"/>
        <v>20</v>
      </c>
      <c r="F342" s="4" t="s">
        <v>13</v>
      </c>
      <c r="G342" s="4">
        <v>26.96</v>
      </c>
      <c r="H342" s="4">
        <v>22.74</v>
      </c>
    </row>
    <row r="343" spans="1:8">
      <c r="A343" s="4">
        <v>11</v>
      </c>
      <c r="B343" s="4" t="s">
        <v>207</v>
      </c>
      <c r="C343" s="4">
        <v>65</v>
      </c>
      <c r="D343" s="5">
        <v>1</v>
      </c>
      <c r="E343" s="4">
        <f t="shared" ca="1" si="55"/>
        <v>50</v>
      </c>
      <c r="F343" s="4" t="s">
        <v>13</v>
      </c>
      <c r="G343" s="4">
        <v>22.74</v>
      </c>
      <c r="H343" s="4">
        <v>26.96</v>
      </c>
    </row>
    <row r="344" spans="1:8">
      <c r="A344" s="4">
        <v>12</v>
      </c>
      <c r="B344" s="4" t="s">
        <v>208</v>
      </c>
      <c r="C344" s="4">
        <v>66</v>
      </c>
      <c r="D344" s="5">
        <v>1</v>
      </c>
      <c r="E344" s="4">
        <f t="shared" ref="E344:E407" ca="1" si="56">RANDBETWEEN(18,70)</f>
        <v>25</v>
      </c>
      <c r="F344" s="4" t="s">
        <v>13</v>
      </c>
      <c r="G344" s="4">
        <v>28.43</v>
      </c>
      <c r="H344" s="4">
        <v>36.29</v>
      </c>
    </row>
    <row r="345" spans="1:8">
      <c r="A345" s="4">
        <v>13</v>
      </c>
      <c r="B345" s="4" t="s">
        <v>209</v>
      </c>
      <c r="C345" s="4">
        <v>67</v>
      </c>
      <c r="D345" s="5">
        <v>2</v>
      </c>
      <c r="E345" s="4">
        <f t="shared" ca="1" si="56"/>
        <v>62</v>
      </c>
      <c r="F345" s="4" t="s">
        <v>13</v>
      </c>
      <c r="G345" s="4">
        <v>36.29</v>
      </c>
      <c r="H345" s="4">
        <v>28.43</v>
      </c>
    </row>
    <row r="346" spans="1:8">
      <c r="A346" s="4">
        <v>14</v>
      </c>
      <c r="B346" s="4" t="s">
        <v>210</v>
      </c>
      <c r="C346" s="4">
        <v>68</v>
      </c>
      <c r="D346" s="5">
        <v>1</v>
      </c>
      <c r="E346" s="4">
        <f t="shared" ca="1" si="56"/>
        <v>55</v>
      </c>
      <c r="F346" s="4" t="s">
        <v>13</v>
      </c>
      <c r="G346" s="4">
        <v>22.83</v>
      </c>
      <c r="H346" s="4">
        <v>16.600000000000001</v>
      </c>
    </row>
    <row r="347" spans="1:8">
      <c r="A347" s="4">
        <v>15</v>
      </c>
      <c r="B347" s="4" t="s">
        <v>211</v>
      </c>
      <c r="C347" s="4">
        <v>69</v>
      </c>
      <c r="D347" s="5">
        <v>2</v>
      </c>
      <c r="E347" s="4">
        <f t="shared" ca="1" si="56"/>
        <v>27</v>
      </c>
      <c r="F347" s="4" t="s">
        <v>13</v>
      </c>
      <c r="G347" s="4">
        <v>20.350000000000001</v>
      </c>
      <c r="H347" s="4">
        <v>3.23</v>
      </c>
    </row>
    <row r="348" spans="1:8">
      <c r="A348" s="4">
        <v>16</v>
      </c>
      <c r="B348" s="4" t="s">
        <v>212</v>
      </c>
      <c r="C348" s="4">
        <v>70</v>
      </c>
      <c r="D348" s="5">
        <v>1</v>
      </c>
      <c r="E348" s="4">
        <f t="shared" ca="1" si="56"/>
        <v>46</v>
      </c>
      <c r="F348" s="4" t="s">
        <v>13</v>
      </c>
      <c r="G348" s="4">
        <v>15.67</v>
      </c>
      <c r="H348" s="4">
        <v>17.350000000000001</v>
      </c>
    </row>
    <row r="349" spans="1:8">
      <c r="A349" s="4">
        <v>17</v>
      </c>
      <c r="B349" s="4" t="s">
        <v>213</v>
      </c>
      <c r="C349" s="4">
        <v>71</v>
      </c>
      <c r="D349" s="5">
        <v>2</v>
      </c>
      <c r="E349" s="4">
        <f t="shared" ca="1" si="56"/>
        <v>67</v>
      </c>
      <c r="F349" s="4" t="s">
        <v>13</v>
      </c>
      <c r="G349" s="4">
        <v>7.96</v>
      </c>
      <c r="H349" s="4">
        <v>3.5</v>
      </c>
    </row>
    <row r="350" spans="1:8">
      <c r="A350" s="4">
        <v>18</v>
      </c>
      <c r="B350" s="4" t="s">
        <v>214</v>
      </c>
      <c r="C350" s="4">
        <v>72</v>
      </c>
      <c r="D350" s="5">
        <v>1</v>
      </c>
      <c r="E350" s="4">
        <f t="shared" ca="1" si="56"/>
        <v>47</v>
      </c>
      <c r="F350" s="4" t="s">
        <v>13</v>
      </c>
      <c r="G350" s="4">
        <v>22.96</v>
      </c>
      <c r="H350" s="4">
        <v>21.79</v>
      </c>
    </row>
    <row r="351" spans="1:8">
      <c r="A351" s="4">
        <v>19</v>
      </c>
      <c r="B351" s="4" t="s">
        <v>215</v>
      </c>
      <c r="C351" s="4">
        <v>73</v>
      </c>
      <c r="D351" s="5">
        <v>2</v>
      </c>
      <c r="E351" s="4">
        <f t="shared" ca="1" si="56"/>
        <v>62</v>
      </c>
      <c r="F351" s="4" t="s">
        <v>13</v>
      </c>
      <c r="G351" s="4">
        <v>27.89</v>
      </c>
      <c r="H351" s="4">
        <v>27.89</v>
      </c>
    </row>
    <row r="352" spans="1:8">
      <c r="A352" s="4">
        <v>20</v>
      </c>
      <c r="B352" s="4" t="s">
        <v>216</v>
      </c>
      <c r="C352" s="4">
        <v>74</v>
      </c>
      <c r="D352" s="5">
        <v>2</v>
      </c>
      <c r="E352" s="4">
        <f t="shared" ca="1" si="56"/>
        <v>65</v>
      </c>
      <c r="F352" s="4" t="s">
        <v>13</v>
      </c>
      <c r="G352" s="4">
        <v>16.25</v>
      </c>
      <c r="H352" s="4">
        <v>2.29</v>
      </c>
    </row>
    <row r="353" spans="1:8">
      <c r="A353" s="4">
        <v>21</v>
      </c>
      <c r="B353" s="4" t="s">
        <v>217</v>
      </c>
      <c r="C353" s="4">
        <v>75</v>
      </c>
      <c r="D353" s="5">
        <v>2</v>
      </c>
      <c r="E353" s="4">
        <f t="shared" ca="1" si="56"/>
        <v>18</v>
      </c>
      <c r="F353" s="4" t="s">
        <v>13</v>
      </c>
      <c r="G353" s="4">
        <v>26.19</v>
      </c>
      <c r="H353" s="4">
        <v>29.05</v>
      </c>
    </row>
    <row r="354" spans="1:8">
      <c r="A354" s="4">
        <v>22</v>
      </c>
      <c r="B354" s="4" t="s">
        <v>218</v>
      </c>
      <c r="C354" s="4">
        <v>76</v>
      </c>
      <c r="D354" s="5">
        <v>1</v>
      </c>
      <c r="E354" s="4">
        <f t="shared" ca="1" si="56"/>
        <v>22</v>
      </c>
      <c r="F354" s="4" t="s">
        <v>13</v>
      </c>
      <c r="G354" s="4">
        <v>40.17</v>
      </c>
      <c r="H354" s="4">
        <v>31.71</v>
      </c>
    </row>
    <row r="355" spans="1:8">
      <c r="A355" s="4">
        <v>23</v>
      </c>
      <c r="B355" s="4" t="s">
        <v>219</v>
      </c>
      <c r="C355" s="4">
        <v>77</v>
      </c>
      <c r="D355" s="5">
        <v>1</v>
      </c>
      <c r="E355" s="4">
        <f t="shared" ca="1" si="56"/>
        <v>18</v>
      </c>
      <c r="F355" s="4" t="s">
        <v>13</v>
      </c>
      <c r="G355" s="4">
        <v>26.55</v>
      </c>
      <c r="H355" s="4">
        <v>20.43</v>
      </c>
    </row>
    <row r="356" spans="1:8">
      <c r="A356" s="4">
        <v>24</v>
      </c>
      <c r="B356" s="4" t="s">
        <v>220</v>
      </c>
      <c r="C356" s="4">
        <v>78</v>
      </c>
      <c r="D356" s="5">
        <v>1</v>
      </c>
      <c r="E356" s="4">
        <f t="shared" ca="1" si="56"/>
        <v>58</v>
      </c>
      <c r="F356" s="4" t="s">
        <v>13</v>
      </c>
      <c r="G356" s="4">
        <v>23.54</v>
      </c>
      <c r="H356" s="4">
        <v>21.31</v>
      </c>
    </row>
    <row r="357" spans="1:8">
      <c r="A357" s="4">
        <v>25</v>
      </c>
      <c r="B357" s="4" t="s">
        <v>221</v>
      </c>
      <c r="C357" s="4">
        <v>79</v>
      </c>
      <c r="D357" s="5">
        <v>2</v>
      </c>
      <c r="E357" s="4">
        <f t="shared" ca="1" si="56"/>
        <v>49</v>
      </c>
      <c r="F357" s="4" t="s">
        <v>13</v>
      </c>
      <c r="G357" s="4">
        <v>23.19</v>
      </c>
      <c r="H357" s="4">
        <v>20.55</v>
      </c>
    </row>
    <row r="358" spans="1:8">
      <c r="A358" s="4">
        <v>26</v>
      </c>
      <c r="B358" s="4" t="s">
        <v>222</v>
      </c>
      <c r="C358" s="4">
        <v>80</v>
      </c>
      <c r="D358" s="5">
        <v>1</v>
      </c>
      <c r="E358" s="4">
        <f t="shared" ca="1" si="56"/>
        <v>51</v>
      </c>
      <c r="F358" s="4" t="s">
        <v>13</v>
      </c>
      <c r="G358" s="4">
        <v>28.43</v>
      </c>
      <c r="H358" s="4">
        <v>23.85</v>
      </c>
    </row>
    <row r="359" spans="1:8">
      <c r="A359" s="4">
        <v>27</v>
      </c>
      <c r="B359" s="4" t="s">
        <v>223</v>
      </c>
      <c r="C359" s="4">
        <v>81</v>
      </c>
      <c r="D359" s="5">
        <v>1</v>
      </c>
      <c r="E359" s="4">
        <f t="shared" ca="1" si="56"/>
        <v>20</v>
      </c>
      <c r="F359" s="4" t="s">
        <v>13</v>
      </c>
      <c r="G359" s="4">
        <v>30.61</v>
      </c>
      <c r="H359" s="4">
        <v>27.59</v>
      </c>
    </row>
    <row r="360" spans="1:8">
      <c r="A360" s="4">
        <v>1</v>
      </c>
      <c r="B360" s="4" t="s">
        <v>224</v>
      </c>
      <c r="C360" s="4">
        <v>82</v>
      </c>
      <c r="D360" s="5">
        <v>1</v>
      </c>
      <c r="E360" s="4">
        <f t="shared" ca="1" si="56"/>
        <v>63</v>
      </c>
      <c r="F360" s="4" t="s">
        <v>14</v>
      </c>
      <c r="G360" s="4">
        <v>16.5</v>
      </c>
      <c r="H360" s="4">
        <v>16.07</v>
      </c>
    </row>
    <row r="361" spans="1:8">
      <c r="A361" s="4">
        <v>2</v>
      </c>
      <c r="B361" s="4" t="s">
        <v>225</v>
      </c>
      <c r="C361" s="4">
        <v>83</v>
      </c>
      <c r="D361" s="5">
        <v>1</v>
      </c>
      <c r="E361" s="4">
        <f t="shared" ca="1" si="56"/>
        <v>54</v>
      </c>
      <c r="F361" s="4" t="s">
        <v>14</v>
      </c>
      <c r="G361" s="4">
        <v>31.42</v>
      </c>
      <c r="H361" s="4">
        <v>39.340000000000003</v>
      </c>
    </row>
    <row r="362" spans="1:8">
      <c r="A362" s="4">
        <v>3</v>
      </c>
      <c r="B362" s="4" t="s">
        <v>226</v>
      </c>
      <c r="C362" s="4">
        <v>84</v>
      </c>
      <c r="D362" s="5">
        <v>2</v>
      </c>
      <c r="E362" s="4">
        <f t="shared" ca="1" si="56"/>
        <v>64</v>
      </c>
      <c r="F362" s="4" t="s">
        <v>14</v>
      </c>
      <c r="G362" s="4">
        <v>13.53</v>
      </c>
      <c r="H362" s="4">
        <v>16.600000000000001</v>
      </c>
    </row>
    <row r="363" spans="1:8">
      <c r="A363" s="4">
        <v>4</v>
      </c>
      <c r="B363" s="4" t="s">
        <v>227</v>
      </c>
      <c r="C363" s="4">
        <v>85</v>
      </c>
      <c r="D363" s="5">
        <v>1</v>
      </c>
      <c r="E363" s="4">
        <f t="shared" ca="1" si="56"/>
        <v>70</v>
      </c>
      <c r="F363" s="4" t="s">
        <v>14</v>
      </c>
      <c r="G363" s="4">
        <v>16.62</v>
      </c>
      <c r="H363" s="4">
        <v>16.04</v>
      </c>
    </row>
    <row r="364" spans="1:8">
      <c r="A364" s="4">
        <v>5</v>
      </c>
      <c r="B364" s="4" t="s">
        <v>228</v>
      </c>
      <c r="C364" s="4">
        <v>86</v>
      </c>
      <c r="D364" s="5">
        <v>1</v>
      </c>
      <c r="E364" s="4">
        <f t="shared" ca="1" si="56"/>
        <v>41</v>
      </c>
      <c r="F364" s="4" t="s">
        <v>14</v>
      </c>
      <c r="G364" s="4">
        <v>24.05</v>
      </c>
      <c r="H364" s="4">
        <v>26.16</v>
      </c>
    </row>
    <row r="365" spans="1:8">
      <c r="A365" s="4">
        <v>6</v>
      </c>
      <c r="B365" s="4" t="s">
        <v>229</v>
      </c>
      <c r="C365" s="4">
        <v>87</v>
      </c>
      <c r="D365" s="5">
        <v>2</v>
      </c>
      <c r="E365" s="4">
        <f t="shared" ca="1" si="56"/>
        <v>61</v>
      </c>
      <c r="F365" s="4" t="s">
        <v>14</v>
      </c>
      <c r="G365" s="4">
        <v>23.02</v>
      </c>
      <c r="H365" s="4">
        <v>7.9</v>
      </c>
    </row>
    <row r="366" spans="1:8">
      <c r="A366" s="4">
        <v>7</v>
      </c>
      <c r="B366" s="4" t="s">
        <v>230</v>
      </c>
      <c r="C366" s="4">
        <v>88</v>
      </c>
      <c r="D366" s="5">
        <v>1</v>
      </c>
      <c r="E366" s="4">
        <f t="shared" ca="1" si="56"/>
        <v>47</v>
      </c>
      <c r="F366" s="4" t="s">
        <v>14</v>
      </c>
      <c r="G366" s="4">
        <v>19.329999999999998</v>
      </c>
      <c r="H366" s="4">
        <v>22.37</v>
      </c>
    </row>
    <row r="367" spans="1:8">
      <c r="A367" s="4">
        <v>8</v>
      </c>
      <c r="B367" s="4" t="s">
        <v>231</v>
      </c>
      <c r="C367" s="4">
        <v>89</v>
      </c>
      <c r="D367" s="5">
        <v>2</v>
      </c>
      <c r="E367" s="4">
        <f t="shared" ca="1" si="56"/>
        <v>19</v>
      </c>
      <c r="F367" s="4" t="s">
        <v>14</v>
      </c>
      <c r="G367" s="4">
        <v>33.1</v>
      </c>
      <c r="H367" s="4">
        <v>34.28</v>
      </c>
    </row>
    <row r="368" spans="1:8">
      <c r="A368" s="4">
        <v>9</v>
      </c>
      <c r="B368" s="4" t="s">
        <v>232</v>
      </c>
      <c r="C368" s="4">
        <v>90</v>
      </c>
      <c r="D368" s="5">
        <v>2</v>
      </c>
      <c r="E368" s="4">
        <f t="shared" ca="1" si="56"/>
        <v>30</v>
      </c>
      <c r="F368" s="4" t="s">
        <v>14</v>
      </c>
      <c r="G368" s="4">
        <v>28.92</v>
      </c>
      <c r="H368" s="4">
        <v>30.33</v>
      </c>
    </row>
    <row r="369" spans="1:8">
      <c r="A369" s="4">
        <v>10</v>
      </c>
      <c r="B369" s="4" t="s">
        <v>233</v>
      </c>
      <c r="C369" s="4">
        <v>91</v>
      </c>
      <c r="D369" s="5">
        <v>2</v>
      </c>
      <c r="E369" s="4">
        <f t="shared" ca="1" si="56"/>
        <v>22</v>
      </c>
      <c r="F369" s="4" t="s">
        <v>14</v>
      </c>
      <c r="G369" s="4">
        <v>23.55</v>
      </c>
      <c r="H369" s="4">
        <v>17.41</v>
      </c>
    </row>
    <row r="370" spans="1:8">
      <c r="A370" s="4">
        <v>11</v>
      </c>
      <c r="B370" s="4" t="s">
        <v>234</v>
      </c>
      <c r="C370" s="4">
        <v>92</v>
      </c>
      <c r="D370" s="5">
        <v>1</v>
      </c>
      <c r="E370" s="4">
        <f t="shared" ca="1" si="56"/>
        <v>23</v>
      </c>
      <c r="F370" s="4" t="s">
        <v>14</v>
      </c>
      <c r="G370" s="4">
        <v>10.3</v>
      </c>
      <c r="H370" s="4">
        <v>3.76</v>
      </c>
    </row>
    <row r="371" spans="1:8">
      <c r="A371" s="4">
        <v>12</v>
      </c>
      <c r="B371" s="4" t="s">
        <v>235</v>
      </c>
      <c r="C371" s="4">
        <v>93</v>
      </c>
      <c r="D371" s="5">
        <v>2</v>
      </c>
      <c r="E371" s="4">
        <f t="shared" ca="1" si="56"/>
        <v>52</v>
      </c>
      <c r="F371" s="4" t="s">
        <v>14</v>
      </c>
      <c r="G371" s="4">
        <v>25.07</v>
      </c>
      <c r="H371" s="4">
        <v>19.98</v>
      </c>
    </row>
    <row r="372" spans="1:8">
      <c r="A372" s="4">
        <v>13</v>
      </c>
      <c r="B372" s="4" t="s">
        <v>236</v>
      </c>
      <c r="C372" s="4">
        <v>94</v>
      </c>
      <c r="D372" s="5">
        <v>2</v>
      </c>
      <c r="E372" s="4">
        <f t="shared" ca="1" si="56"/>
        <v>65</v>
      </c>
      <c r="F372" s="4" t="s">
        <v>14</v>
      </c>
      <c r="G372" s="4">
        <v>8.67</v>
      </c>
      <c r="H372" s="4">
        <v>2.56</v>
      </c>
    </row>
    <row r="373" spans="1:8">
      <c r="A373" s="4">
        <v>14</v>
      </c>
      <c r="B373" s="4" t="s">
        <v>237</v>
      </c>
      <c r="C373" s="4">
        <v>95</v>
      </c>
      <c r="D373" s="5">
        <v>2</v>
      </c>
      <c r="E373" s="4">
        <f t="shared" ca="1" si="56"/>
        <v>39</v>
      </c>
      <c r="F373" s="4" t="s">
        <v>14</v>
      </c>
      <c r="G373" s="4">
        <v>19.98</v>
      </c>
      <c r="H373" s="4">
        <v>4.01</v>
      </c>
    </row>
    <row r="374" spans="1:8">
      <c r="A374" s="4">
        <v>15</v>
      </c>
      <c r="B374" s="4" t="s">
        <v>238</v>
      </c>
      <c r="C374" s="4">
        <v>96</v>
      </c>
      <c r="D374" s="5">
        <v>1</v>
      </c>
      <c r="E374" s="4">
        <f t="shared" ca="1" si="56"/>
        <v>68</v>
      </c>
      <c r="F374" s="4" t="s">
        <v>14</v>
      </c>
      <c r="G374" s="4">
        <v>15.68</v>
      </c>
      <c r="H374" s="4">
        <v>12.84</v>
      </c>
    </row>
    <row r="375" spans="1:8">
      <c r="A375" s="4">
        <v>16</v>
      </c>
      <c r="B375" s="4" t="s">
        <v>239</v>
      </c>
      <c r="C375" s="4">
        <v>97</v>
      </c>
      <c r="D375" s="5">
        <v>2</v>
      </c>
      <c r="E375" s="4">
        <f t="shared" ca="1" si="56"/>
        <v>35</v>
      </c>
      <c r="F375" s="4" t="s">
        <v>14</v>
      </c>
      <c r="G375" s="4">
        <v>4.4800000000000004</v>
      </c>
      <c r="H375" s="4">
        <v>6.84</v>
      </c>
    </row>
    <row r="376" spans="1:8">
      <c r="A376" s="4">
        <v>17</v>
      </c>
      <c r="B376" s="4" t="s">
        <v>240</v>
      </c>
      <c r="C376" s="4">
        <v>98</v>
      </c>
      <c r="D376" s="5">
        <v>1</v>
      </c>
      <c r="E376" s="4">
        <f t="shared" ca="1" si="56"/>
        <v>66</v>
      </c>
      <c r="F376" s="4" t="s">
        <v>14</v>
      </c>
      <c r="G376" s="4">
        <v>33.17</v>
      </c>
      <c r="H376" s="4">
        <v>33.409999999999997</v>
      </c>
    </row>
    <row r="377" spans="1:8">
      <c r="A377" s="4">
        <v>18</v>
      </c>
      <c r="B377" s="4" t="s">
        <v>241</v>
      </c>
      <c r="C377" s="4">
        <v>99</v>
      </c>
      <c r="D377" s="5">
        <v>2</v>
      </c>
      <c r="E377" s="4">
        <f t="shared" ca="1" si="56"/>
        <v>19</v>
      </c>
      <c r="F377" s="4" t="s">
        <v>14</v>
      </c>
      <c r="G377" s="4">
        <v>27.64</v>
      </c>
      <c r="H377" s="4">
        <v>13.62</v>
      </c>
    </row>
    <row r="378" spans="1:8">
      <c r="A378" s="4">
        <v>19</v>
      </c>
      <c r="B378" s="4" t="s">
        <v>242</v>
      </c>
      <c r="C378" s="4">
        <v>100</v>
      </c>
      <c r="D378" s="5">
        <v>1</v>
      </c>
      <c r="E378" s="4">
        <f t="shared" ca="1" si="56"/>
        <v>48</v>
      </c>
      <c r="F378" s="4" t="s">
        <v>14</v>
      </c>
      <c r="G378" s="4">
        <v>15.7</v>
      </c>
      <c r="H378" s="4">
        <v>18.690000000000001</v>
      </c>
    </row>
    <row r="379" spans="1:8">
      <c r="A379" s="4">
        <v>20</v>
      </c>
      <c r="B379" s="4" t="s">
        <v>243</v>
      </c>
      <c r="C379" s="4">
        <v>101</v>
      </c>
      <c r="D379" s="5">
        <v>1</v>
      </c>
      <c r="E379" s="4">
        <f t="shared" ca="1" si="56"/>
        <v>67</v>
      </c>
      <c r="F379" s="4" t="s">
        <v>14</v>
      </c>
      <c r="G379" s="4">
        <v>11.46</v>
      </c>
      <c r="H379" s="4">
        <v>2.5299999999999998</v>
      </c>
    </row>
    <row r="380" spans="1:8">
      <c r="A380" s="4">
        <v>21</v>
      </c>
      <c r="B380" s="4" t="s">
        <v>244</v>
      </c>
      <c r="C380" s="4">
        <v>102</v>
      </c>
      <c r="D380" s="5">
        <v>2</v>
      </c>
      <c r="E380" s="4">
        <f t="shared" ca="1" si="56"/>
        <v>18</v>
      </c>
      <c r="F380" s="4" t="s">
        <v>14</v>
      </c>
      <c r="G380" s="4">
        <v>16.61</v>
      </c>
      <c r="H380" s="4">
        <v>9.06</v>
      </c>
    </row>
    <row r="381" spans="1:8">
      <c r="A381" s="4">
        <v>22</v>
      </c>
      <c r="B381" s="4" t="s">
        <v>245</v>
      </c>
      <c r="C381" s="4">
        <v>103</v>
      </c>
      <c r="D381" s="5">
        <v>2</v>
      </c>
      <c r="E381" s="4">
        <f t="shared" ca="1" si="56"/>
        <v>24</v>
      </c>
      <c r="F381" s="4" t="s">
        <v>14</v>
      </c>
      <c r="G381" s="4">
        <v>22.13</v>
      </c>
      <c r="H381" s="4">
        <v>11.72</v>
      </c>
    </row>
    <row r="382" spans="1:8">
      <c r="A382" s="4">
        <v>23</v>
      </c>
      <c r="B382" s="4" t="s">
        <v>246</v>
      </c>
      <c r="C382" s="4">
        <v>104</v>
      </c>
      <c r="D382" s="5">
        <v>1</v>
      </c>
      <c r="E382" s="4">
        <f t="shared" ca="1" si="56"/>
        <v>41</v>
      </c>
      <c r="F382" s="4" t="s">
        <v>14</v>
      </c>
      <c r="G382" s="4">
        <v>23.95</v>
      </c>
      <c r="H382" s="4">
        <v>23.52</v>
      </c>
    </row>
    <row r="383" spans="1:8">
      <c r="A383" s="4">
        <v>24</v>
      </c>
      <c r="B383" s="4" t="s">
        <v>247</v>
      </c>
      <c r="C383" s="4">
        <v>105</v>
      </c>
      <c r="D383" s="5">
        <v>1</v>
      </c>
      <c r="E383" s="4">
        <f t="shared" ca="1" si="56"/>
        <v>68</v>
      </c>
      <c r="F383" s="4" t="s">
        <v>14</v>
      </c>
      <c r="G383" s="4">
        <v>19.28</v>
      </c>
      <c r="H383" s="4">
        <v>12.92</v>
      </c>
    </row>
    <row r="384" spans="1:8">
      <c r="A384" s="4">
        <v>25</v>
      </c>
      <c r="B384" s="4" t="s">
        <v>248</v>
      </c>
      <c r="C384" s="4">
        <v>106</v>
      </c>
      <c r="D384" s="5">
        <v>1</v>
      </c>
      <c r="E384" s="4">
        <f t="shared" ca="1" si="56"/>
        <v>29</v>
      </c>
      <c r="F384" s="4" t="s">
        <v>14</v>
      </c>
      <c r="G384" s="4">
        <v>27.47</v>
      </c>
      <c r="H384" s="4">
        <v>26.97</v>
      </c>
    </row>
    <row r="385" spans="1:8">
      <c r="A385" s="4">
        <v>26</v>
      </c>
      <c r="B385" s="4" t="s">
        <v>249</v>
      </c>
      <c r="C385" s="4">
        <v>107</v>
      </c>
      <c r="D385" s="5">
        <v>1</v>
      </c>
      <c r="E385" s="4">
        <f t="shared" ca="1" si="56"/>
        <v>24</v>
      </c>
      <c r="F385" s="4" t="s">
        <v>14</v>
      </c>
      <c r="G385" s="4">
        <v>11.31</v>
      </c>
      <c r="H385" s="4">
        <v>20.85</v>
      </c>
    </row>
    <row r="386" spans="1:8">
      <c r="A386" s="4">
        <v>27</v>
      </c>
      <c r="B386" s="4" t="s">
        <v>250</v>
      </c>
      <c r="C386" s="4">
        <v>108</v>
      </c>
      <c r="D386" s="5">
        <v>2</v>
      </c>
      <c r="E386" s="4">
        <f t="shared" ca="1" si="56"/>
        <v>18</v>
      </c>
      <c r="F386" s="4" t="s">
        <v>14</v>
      </c>
      <c r="G386" s="4">
        <v>8.26</v>
      </c>
      <c r="H386" s="4">
        <v>18.43</v>
      </c>
    </row>
    <row r="387" spans="1:8">
      <c r="A387" s="4">
        <v>1</v>
      </c>
      <c r="B387" s="4" t="s">
        <v>251</v>
      </c>
      <c r="C387" s="4">
        <v>109</v>
      </c>
      <c r="D387" s="5">
        <v>1</v>
      </c>
      <c r="E387" s="4">
        <f t="shared" ca="1" si="56"/>
        <v>35</v>
      </c>
      <c r="F387" s="4" t="s">
        <v>15</v>
      </c>
      <c r="G387" s="4">
        <v>16.600000000000001</v>
      </c>
      <c r="H387" s="4">
        <v>16.559999999999999</v>
      </c>
    </row>
    <row r="388" spans="1:8">
      <c r="A388" s="4">
        <v>2</v>
      </c>
      <c r="B388" s="4" t="s">
        <v>252</v>
      </c>
      <c r="C388" s="4">
        <v>110</v>
      </c>
      <c r="D388" s="5">
        <v>1</v>
      </c>
      <c r="E388" s="4">
        <f t="shared" ca="1" si="56"/>
        <v>37</v>
      </c>
      <c r="F388" s="4" t="s">
        <v>15</v>
      </c>
      <c r="G388" s="4">
        <v>2.95</v>
      </c>
      <c r="H388" s="4">
        <v>6.29</v>
      </c>
    </row>
    <row r="389" spans="1:8">
      <c r="A389" s="4">
        <v>3</v>
      </c>
      <c r="B389" s="4" t="s">
        <v>253</v>
      </c>
      <c r="C389" s="4">
        <v>111</v>
      </c>
      <c r="D389" s="5">
        <v>1</v>
      </c>
      <c r="E389" s="4">
        <f t="shared" ca="1" si="56"/>
        <v>31</v>
      </c>
      <c r="F389" s="4" t="s">
        <v>15</v>
      </c>
      <c r="G389" s="4">
        <v>7.49</v>
      </c>
      <c r="H389" s="4">
        <v>4.88</v>
      </c>
    </row>
    <row r="390" spans="1:8">
      <c r="A390" s="4">
        <v>4</v>
      </c>
      <c r="B390" s="4" t="s">
        <v>254</v>
      </c>
      <c r="C390" s="4">
        <v>112</v>
      </c>
      <c r="D390" s="5">
        <v>1</v>
      </c>
      <c r="E390" s="4">
        <f t="shared" ca="1" si="56"/>
        <v>70</v>
      </c>
      <c r="F390" s="4" t="s">
        <v>15</v>
      </c>
      <c r="G390" s="4">
        <v>22.83</v>
      </c>
      <c r="H390" s="4">
        <v>20.2</v>
      </c>
    </row>
    <row r="391" spans="1:8">
      <c r="A391" s="4">
        <v>5</v>
      </c>
      <c r="B391" s="4" t="s">
        <v>255</v>
      </c>
      <c r="C391" s="4">
        <v>113</v>
      </c>
      <c r="D391" s="5">
        <v>2</v>
      </c>
      <c r="E391" s="4">
        <f t="shared" ca="1" si="56"/>
        <v>24</v>
      </c>
      <c r="F391" s="4" t="s">
        <v>15</v>
      </c>
      <c r="G391" s="4">
        <v>26.15</v>
      </c>
      <c r="H391" s="4">
        <v>23.46</v>
      </c>
    </row>
    <row r="392" spans="1:8">
      <c r="A392" s="4">
        <v>6</v>
      </c>
      <c r="B392" s="4" t="s">
        <v>256</v>
      </c>
      <c r="C392" s="4">
        <v>114</v>
      </c>
      <c r="D392" s="5">
        <v>1</v>
      </c>
      <c r="E392" s="4">
        <f t="shared" ca="1" si="56"/>
        <v>42</v>
      </c>
      <c r="F392" s="4" t="s">
        <v>15</v>
      </c>
      <c r="G392" s="4">
        <v>2.95</v>
      </c>
      <c r="H392" s="4">
        <v>6.29</v>
      </c>
    </row>
    <row r="393" spans="1:8">
      <c r="A393" s="4">
        <v>7</v>
      </c>
      <c r="B393" s="4" t="s">
        <v>257</v>
      </c>
      <c r="C393" s="4">
        <v>115</v>
      </c>
      <c r="D393" s="5">
        <v>1</v>
      </c>
      <c r="E393" s="4">
        <f t="shared" ca="1" si="56"/>
        <v>33</v>
      </c>
      <c r="F393" s="4" t="s">
        <v>15</v>
      </c>
      <c r="G393" s="4">
        <v>6.54</v>
      </c>
      <c r="H393" s="4">
        <v>5.25</v>
      </c>
    </row>
    <row r="394" spans="1:8">
      <c r="A394" s="4">
        <v>8</v>
      </c>
      <c r="B394" s="4" t="s">
        <v>258</v>
      </c>
      <c r="C394" s="4">
        <v>116</v>
      </c>
      <c r="D394" s="5">
        <v>1</v>
      </c>
      <c r="E394" s="4">
        <f t="shared" ca="1" si="56"/>
        <v>51</v>
      </c>
      <c r="F394" s="4" t="s">
        <v>15</v>
      </c>
      <c r="G394" s="4">
        <v>17.62</v>
      </c>
      <c r="H394" s="4">
        <v>9.7100000000000009</v>
      </c>
    </row>
    <row r="395" spans="1:8">
      <c r="A395" s="4">
        <v>9</v>
      </c>
      <c r="B395" s="4" t="s">
        <v>259</v>
      </c>
      <c r="C395" s="4">
        <v>117</v>
      </c>
      <c r="D395" s="5">
        <v>2</v>
      </c>
      <c r="E395" s="4">
        <f t="shared" ca="1" si="56"/>
        <v>70</v>
      </c>
      <c r="F395" s="4" t="s">
        <v>15</v>
      </c>
      <c r="G395" s="4">
        <v>16.920000000000002</v>
      </c>
      <c r="H395" s="4">
        <v>24.8</v>
      </c>
    </row>
    <row r="396" spans="1:8">
      <c r="A396" s="4">
        <v>10</v>
      </c>
      <c r="B396" s="4" t="s">
        <v>260</v>
      </c>
      <c r="C396" s="4">
        <v>118</v>
      </c>
      <c r="D396" s="5">
        <v>1</v>
      </c>
      <c r="E396" s="4">
        <f t="shared" ca="1" si="56"/>
        <v>55</v>
      </c>
      <c r="F396" s="4" t="s">
        <v>15</v>
      </c>
      <c r="G396" s="4">
        <v>15.04</v>
      </c>
      <c r="H396" s="4">
        <v>19.87</v>
      </c>
    </row>
    <row r="397" spans="1:8">
      <c r="A397" s="4">
        <v>11</v>
      </c>
      <c r="B397" s="4" t="s">
        <v>261</v>
      </c>
      <c r="C397" s="4">
        <v>119</v>
      </c>
      <c r="D397" s="5">
        <v>1</v>
      </c>
      <c r="E397" s="4">
        <f t="shared" ca="1" si="56"/>
        <v>67</v>
      </c>
      <c r="F397" s="4" t="s">
        <v>15</v>
      </c>
      <c r="G397" s="4">
        <v>17.68</v>
      </c>
      <c r="H397" s="4">
        <v>18.86</v>
      </c>
    </row>
    <row r="398" spans="1:8">
      <c r="A398" s="4">
        <v>12</v>
      </c>
      <c r="B398" s="4" t="s">
        <v>262</v>
      </c>
      <c r="C398" s="4">
        <v>120</v>
      </c>
      <c r="D398" s="5">
        <v>2</v>
      </c>
      <c r="E398" s="4">
        <f t="shared" ca="1" si="56"/>
        <v>53</v>
      </c>
      <c r="F398" s="4" t="s">
        <v>15</v>
      </c>
      <c r="G398" s="4">
        <v>22.61</v>
      </c>
      <c r="H398" s="4">
        <v>23.98</v>
      </c>
    </row>
    <row r="399" spans="1:8">
      <c r="A399" s="4">
        <v>13</v>
      </c>
      <c r="B399" s="4" t="s">
        <v>263</v>
      </c>
      <c r="C399" s="4">
        <v>121</v>
      </c>
      <c r="D399" s="5">
        <v>1</v>
      </c>
      <c r="E399" s="4">
        <f t="shared" ca="1" si="56"/>
        <v>33</v>
      </c>
      <c r="F399" s="4" t="s">
        <v>15</v>
      </c>
      <c r="G399" s="4">
        <v>25.49</v>
      </c>
      <c r="H399" s="4">
        <v>24.65</v>
      </c>
    </row>
    <row r="400" spans="1:8">
      <c r="A400" s="4">
        <v>14</v>
      </c>
      <c r="B400" s="4" t="s">
        <v>264</v>
      </c>
      <c r="C400" s="4">
        <v>122</v>
      </c>
      <c r="D400" s="5">
        <v>1</v>
      </c>
      <c r="E400" s="4">
        <f t="shared" ca="1" si="56"/>
        <v>35</v>
      </c>
      <c r="F400" s="4" t="s">
        <v>15</v>
      </c>
      <c r="G400" s="4">
        <v>13.39</v>
      </c>
      <c r="H400" s="4">
        <v>18.95</v>
      </c>
    </row>
    <row r="401" spans="1:8">
      <c r="A401" s="4">
        <v>15</v>
      </c>
      <c r="B401" s="4" t="s">
        <v>265</v>
      </c>
      <c r="C401" s="4">
        <v>123</v>
      </c>
      <c r="D401" s="5">
        <v>1</v>
      </c>
      <c r="E401" s="4">
        <f t="shared" ca="1" si="56"/>
        <v>24</v>
      </c>
      <c r="F401" s="4" t="s">
        <v>15</v>
      </c>
      <c r="G401" s="4">
        <v>33.1</v>
      </c>
      <c r="H401" s="4">
        <v>27.18</v>
      </c>
    </row>
    <row r="402" spans="1:8">
      <c r="A402" s="4">
        <v>16</v>
      </c>
      <c r="B402" s="4" t="s">
        <v>266</v>
      </c>
      <c r="C402" s="4">
        <v>124</v>
      </c>
      <c r="D402" s="5">
        <v>1</v>
      </c>
      <c r="E402" s="4">
        <f t="shared" ca="1" si="56"/>
        <v>37</v>
      </c>
      <c r="F402" s="4" t="s">
        <v>15</v>
      </c>
      <c r="G402" s="4">
        <v>21.67</v>
      </c>
      <c r="H402" s="4">
        <v>29.21</v>
      </c>
    </row>
    <row r="403" spans="1:8">
      <c r="A403" s="4">
        <v>17</v>
      </c>
      <c r="B403" s="4" t="s">
        <v>267</v>
      </c>
      <c r="C403" s="4">
        <v>125</v>
      </c>
      <c r="D403" s="5">
        <v>2</v>
      </c>
      <c r="E403" s="4">
        <f t="shared" ca="1" si="56"/>
        <v>47</v>
      </c>
      <c r="F403" s="4" t="s">
        <v>15</v>
      </c>
      <c r="G403" s="4">
        <v>29.94</v>
      </c>
      <c r="H403" s="4">
        <v>22.08</v>
      </c>
    </row>
    <row r="404" spans="1:8">
      <c r="A404" s="4">
        <v>18</v>
      </c>
      <c r="B404" s="4" t="s">
        <v>268</v>
      </c>
      <c r="C404" s="4">
        <v>126</v>
      </c>
      <c r="D404" s="5">
        <v>2</v>
      </c>
      <c r="E404" s="4">
        <f t="shared" ca="1" si="56"/>
        <v>24</v>
      </c>
      <c r="F404" s="4" t="s">
        <v>15</v>
      </c>
      <c r="G404" s="4">
        <v>27.89</v>
      </c>
      <c r="H404" s="4">
        <v>34.479999999999997</v>
      </c>
    </row>
    <row r="405" spans="1:8">
      <c r="A405" s="4">
        <v>19</v>
      </c>
      <c r="B405" s="4" t="s">
        <v>269</v>
      </c>
      <c r="C405" s="4">
        <v>127</v>
      </c>
      <c r="D405" s="5">
        <v>2</v>
      </c>
      <c r="E405" s="4">
        <f t="shared" ca="1" si="56"/>
        <v>57</v>
      </c>
      <c r="F405" s="4" t="s">
        <v>15</v>
      </c>
      <c r="G405" s="4">
        <v>31.99</v>
      </c>
      <c r="H405" s="4">
        <v>32.549999999999997</v>
      </c>
    </row>
    <row r="406" spans="1:8">
      <c r="A406" s="4">
        <v>20</v>
      </c>
      <c r="B406" s="4" t="s">
        <v>270</v>
      </c>
      <c r="C406" s="4">
        <v>128</v>
      </c>
      <c r="D406" s="5">
        <v>1</v>
      </c>
      <c r="E406" s="4">
        <f t="shared" ca="1" si="56"/>
        <v>30</v>
      </c>
      <c r="F406" s="4" t="s">
        <v>15</v>
      </c>
      <c r="G406" s="4">
        <v>32.96</v>
      </c>
      <c r="H406" s="4">
        <v>31.86</v>
      </c>
    </row>
    <row r="407" spans="1:8">
      <c r="A407" s="4">
        <v>21</v>
      </c>
      <c r="B407" s="4" t="s">
        <v>271</v>
      </c>
      <c r="C407" s="4">
        <v>129</v>
      </c>
      <c r="D407" s="5">
        <v>2</v>
      </c>
      <c r="E407" s="4">
        <f t="shared" ca="1" si="56"/>
        <v>39</v>
      </c>
      <c r="F407" s="4" t="s">
        <v>15</v>
      </c>
      <c r="G407" s="4">
        <v>8.9</v>
      </c>
      <c r="H407" s="4">
        <v>19.920000000000002</v>
      </c>
    </row>
    <row r="408" spans="1:8">
      <c r="A408" s="4">
        <v>22</v>
      </c>
      <c r="B408" s="4" t="s">
        <v>272</v>
      </c>
      <c r="C408" s="4">
        <v>130</v>
      </c>
      <c r="D408" s="5">
        <v>1</v>
      </c>
      <c r="E408" s="4">
        <f t="shared" ref="E408:E413" ca="1" si="57">RANDBETWEEN(18,70)</f>
        <v>24</v>
      </c>
      <c r="F408" s="4" t="s">
        <v>15</v>
      </c>
      <c r="G408" s="4">
        <v>12.52</v>
      </c>
      <c r="H408" s="4">
        <v>13.29</v>
      </c>
    </row>
    <row r="409" spans="1:8">
      <c r="A409" s="4">
        <v>23</v>
      </c>
      <c r="B409" s="4" t="s">
        <v>273</v>
      </c>
      <c r="C409" s="4">
        <v>131</v>
      </c>
      <c r="D409" s="5">
        <v>2</v>
      </c>
      <c r="E409" s="4">
        <f t="shared" ca="1" si="57"/>
        <v>56</v>
      </c>
      <c r="F409" s="4" t="s">
        <v>15</v>
      </c>
      <c r="G409" s="4">
        <v>32.85</v>
      </c>
      <c r="H409" s="4">
        <v>24.17</v>
      </c>
    </row>
    <row r="410" spans="1:8">
      <c r="A410" s="4">
        <v>24</v>
      </c>
      <c r="B410" s="4" t="s">
        <v>274</v>
      </c>
      <c r="C410" s="4">
        <v>132</v>
      </c>
      <c r="D410" s="5">
        <v>2</v>
      </c>
      <c r="E410" s="4">
        <f t="shared" ca="1" si="57"/>
        <v>36</v>
      </c>
      <c r="F410" s="4" t="s">
        <v>15</v>
      </c>
      <c r="G410" s="4">
        <v>28.43</v>
      </c>
      <c r="H410" s="4">
        <v>25.59</v>
      </c>
    </row>
    <row r="411" spans="1:8">
      <c r="A411" s="4">
        <v>25</v>
      </c>
      <c r="B411" s="4" t="s">
        <v>275</v>
      </c>
      <c r="C411" s="4">
        <v>133</v>
      </c>
      <c r="D411" s="5">
        <v>2</v>
      </c>
      <c r="E411" s="4">
        <f t="shared" ca="1" si="57"/>
        <v>38</v>
      </c>
      <c r="F411" s="4" t="s">
        <v>15</v>
      </c>
      <c r="G411" s="4">
        <v>30.12</v>
      </c>
      <c r="H411" s="4">
        <v>23.83</v>
      </c>
    </row>
    <row r="412" spans="1:8">
      <c r="A412" s="4">
        <v>26</v>
      </c>
      <c r="B412" s="4" t="s">
        <v>276</v>
      </c>
      <c r="C412" s="4">
        <v>134</v>
      </c>
      <c r="D412" s="5">
        <v>1</v>
      </c>
      <c r="E412" s="4">
        <f t="shared" ca="1" si="57"/>
        <v>18</v>
      </c>
      <c r="F412" s="4" t="s">
        <v>15</v>
      </c>
      <c r="G412" s="4">
        <v>26.43</v>
      </c>
      <c r="H412" s="4">
        <v>34.58</v>
      </c>
    </row>
    <row r="413" spans="1:8">
      <c r="A413" s="4">
        <v>27</v>
      </c>
      <c r="B413" s="4" t="s">
        <v>277</v>
      </c>
      <c r="C413" s="4">
        <v>135</v>
      </c>
      <c r="D413" s="5">
        <v>1</v>
      </c>
      <c r="E413" s="4">
        <f t="shared" ca="1" si="57"/>
        <v>35</v>
      </c>
      <c r="F413" s="4" t="s">
        <v>15</v>
      </c>
      <c r="G413" s="4">
        <v>26.48</v>
      </c>
      <c r="H413" s="4">
        <v>17.920000000000002</v>
      </c>
    </row>
  </sheetData>
  <autoFilter ref="A1:H136" xr:uid="{D8801068-DDA2-47A2-8555-C82D84A25BE4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/>
  </sheetViews>
  <sheetFormatPr defaultColWidth="11.42578125" defaultRowHeight="15"/>
  <cols>
    <col min="1" max="1" width="90.140625" customWidth="1"/>
  </cols>
  <sheetData>
    <row r="1" spans="1:2" ht="60">
      <c r="A1" s="1" t="s">
        <v>314</v>
      </c>
    </row>
    <row r="2" spans="1:2">
      <c r="A2" s="1"/>
    </row>
    <row r="3" spans="1:2" ht="30">
      <c r="A3" s="1" t="s">
        <v>315</v>
      </c>
    </row>
    <row r="5" spans="1:2">
      <c r="A5" t="s">
        <v>316</v>
      </c>
      <c r="B5">
        <v>0.14000000000000001</v>
      </c>
    </row>
    <row r="6" spans="1:2">
      <c r="A6" s="1" t="s">
        <v>317</v>
      </c>
      <c r="B6">
        <v>4</v>
      </c>
    </row>
    <row r="7" spans="1:2">
      <c r="A7" s="1" t="s">
        <v>318</v>
      </c>
      <c r="B7">
        <v>2</v>
      </c>
    </row>
    <row r="8" spans="1:2">
      <c r="A8" t="s">
        <v>319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5"/>
  <sheetViews>
    <sheetView topLeftCell="R1" workbookViewId="0">
      <selection activeCell="Y21" sqref="Y21"/>
    </sheetView>
  </sheetViews>
  <sheetFormatPr defaultColWidth="11.42578125" defaultRowHeight="15"/>
  <cols>
    <col min="1" max="1" width="16.42578125" customWidth="1"/>
  </cols>
  <sheetData>
    <row r="1" spans="1:20">
      <c r="A1" t="s">
        <v>316</v>
      </c>
      <c r="B1">
        <v>0.14000000000000001</v>
      </c>
    </row>
    <row r="2" spans="1:20">
      <c r="A2" s="1" t="s">
        <v>317</v>
      </c>
      <c r="B2">
        <v>4</v>
      </c>
    </row>
    <row r="3" spans="1:20">
      <c r="A3" s="1" t="s">
        <v>318</v>
      </c>
      <c r="B3">
        <v>2</v>
      </c>
      <c r="L3" t="s">
        <v>320</v>
      </c>
    </row>
    <row r="4" spans="1:20">
      <c r="A4" t="s">
        <v>319</v>
      </c>
    </row>
    <row r="5" spans="1:20">
      <c r="A5" t="s">
        <v>321</v>
      </c>
      <c r="C5" t="s">
        <v>322</v>
      </c>
      <c r="P5" s="2" t="s">
        <v>323</v>
      </c>
      <c r="Q5" s="2"/>
      <c r="R5" s="2"/>
      <c r="S5" s="2">
        <v>0.4</v>
      </c>
      <c r="T5" s="2"/>
    </row>
    <row r="6" spans="1:20">
      <c r="P6" s="2" t="s">
        <v>324</v>
      </c>
      <c r="Q6" s="2"/>
      <c r="R6" s="2"/>
      <c r="S6" s="3">
        <v>0.8</v>
      </c>
      <c r="T6" s="2"/>
    </row>
    <row r="7" spans="1:20">
      <c r="P7" s="2" t="s">
        <v>325</v>
      </c>
      <c r="Q7" s="2"/>
      <c r="R7" s="2"/>
      <c r="S7" s="3">
        <v>0.9</v>
      </c>
      <c r="T7" s="2"/>
    </row>
    <row r="8" spans="1:20">
      <c r="P8" s="2" t="s">
        <v>326</v>
      </c>
      <c r="Q8" s="2"/>
      <c r="R8" s="2"/>
      <c r="S8" s="2"/>
      <c r="T8" s="2"/>
    </row>
    <row r="10" spans="1:20" ht="15" customHeight="1">
      <c r="P10" s="135" t="s">
        <v>327</v>
      </c>
      <c r="Q10" s="135"/>
      <c r="R10" s="135"/>
      <c r="S10" s="135"/>
      <c r="T10" s="135"/>
    </row>
    <row r="11" spans="1:20">
      <c r="P11" s="135"/>
      <c r="Q11" s="135"/>
      <c r="R11" s="135"/>
      <c r="S11" s="135"/>
      <c r="T11" s="135"/>
    </row>
    <row r="12" spans="1:20">
      <c r="P12" s="135"/>
      <c r="Q12" s="135"/>
      <c r="R12" s="135"/>
      <c r="S12" s="135"/>
      <c r="T12" s="135"/>
    </row>
    <row r="13" spans="1:20">
      <c r="P13" s="135"/>
      <c r="Q13" s="135"/>
      <c r="R13" s="135"/>
      <c r="S13" s="135"/>
      <c r="T13" s="135"/>
    </row>
    <row r="14" spans="1:20">
      <c r="P14" s="135"/>
      <c r="Q14" s="135"/>
      <c r="R14" s="135"/>
      <c r="S14" s="135"/>
      <c r="T14" s="135"/>
    </row>
    <row r="15" spans="1:20">
      <c r="P15" s="135"/>
      <c r="Q15" s="135"/>
      <c r="R15" s="135"/>
      <c r="S15" s="135"/>
      <c r="T15" s="135"/>
    </row>
    <row r="16" spans="1:20">
      <c r="P16" s="135"/>
      <c r="Q16" s="135"/>
      <c r="R16" s="135"/>
      <c r="S16" s="135"/>
      <c r="T16" s="135"/>
    </row>
    <row r="17" spans="1:20">
      <c r="P17" s="135"/>
      <c r="Q17" s="135"/>
      <c r="R17" s="135"/>
      <c r="S17" s="135"/>
      <c r="T17" s="135"/>
    </row>
    <row r="18" spans="1:20">
      <c r="P18" s="135"/>
      <c r="Q18" s="135"/>
      <c r="R18" s="135"/>
      <c r="S18" s="135"/>
      <c r="T18" s="135"/>
    </row>
    <row r="24" spans="1:20">
      <c r="A24" t="s">
        <v>328</v>
      </c>
    </row>
    <row r="25" spans="1:20">
      <c r="A25" t="s">
        <v>329</v>
      </c>
    </row>
  </sheetData>
  <mergeCells count="1">
    <mergeCell ref="P10:T1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4C1D3-9B91-4B75-A29C-3CECF5A1B0BD}">
  <dimension ref="A1:K136"/>
  <sheetViews>
    <sheetView workbookViewId="0">
      <selection sqref="A1:XFD1048576"/>
    </sheetView>
  </sheetViews>
  <sheetFormatPr defaultColWidth="11.42578125" defaultRowHeight="15"/>
  <cols>
    <col min="1" max="3" width="11.42578125" style="4"/>
    <col min="4" max="4" width="11.42578125" style="5"/>
    <col min="5" max="10" width="11.42578125" style="4"/>
    <col min="11" max="11" width="46.140625" style="4" customWidth="1"/>
    <col min="12" max="16384" width="11.42578125" style="4"/>
  </cols>
  <sheetData>
    <row r="1" spans="1:11" ht="15.75">
      <c r="A1" s="4" t="s">
        <v>51</v>
      </c>
      <c r="B1" s="4" t="s">
        <v>52</v>
      </c>
      <c r="C1" s="4" t="s">
        <v>53</v>
      </c>
      <c r="D1" s="5" t="s">
        <v>54</v>
      </c>
      <c r="E1" s="4" t="s">
        <v>55</v>
      </c>
      <c r="F1" s="4" t="s">
        <v>56</v>
      </c>
      <c r="G1" s="4" t="s">
        <v>22</v>
      </c>
      <c r="H1" s="4" t="s">
        <v>37</v>
      </c>
      <c r="J1" s="4" t="s">
        <v>57</v>
      </c>
      <c r="K1" s="11" t="s">
        <v>58</v>
      </c>
    </row>
    <row r="2" spans="1:11" ht="15.75">
      <c r="A2" s="4">
        <v>1</v>
      </c>
      <c r="B2" s="4" t="s">
        <v>60</v>
      </c>
      <c r="C2" s="4">
        <v>1</v>
      </c>
      <c r="D2" s="6">
        <v>1</v>
      </c>
      <c r="E2" s="4">
        <f ca="1">RANDBETWEEN(18,70)</f>
        <v>20</v>
      </c>
      <c r="F2" s="4" t="s">
        <v>11</v>
      </c>
      <c r="G2" s="7">
        <v>17.600000000000001</v>
      </c>
      <c r="H2" s="7">
        <v>17.8</v>
      </c>
      <c r="J2" s="4" t="s">
        <v>61</v>
      </c>
      <c r="K2" s="12" t="s">
        <v>62</v>
      </c>
    </row>
    <row r="3" spans="1:11" ht="30">
      <c r="A3" s="4">
        <v>2</v>
      </c>
      <c r="B3" s="4" t="s">
        <v>64</v>
      </c>
      <c r="C3" s="4">
        <v>2</v>
      </c>
      <c r="D3" s="6">
        <v>2</v>
      </c>
      <c r="E3" s="4">
        <f t="shared" ref="E3:E66" ca="1" si="0">RANDBETWEEN(18,70)</f>
        <v>34</v>
      </c>
      <c r="F3" s="4" t="s">
        <v>11</v>
      </c>
      <c r="G3" s="7">
        <v>19</v>
      </c>
      <c r="H3" s="7">
        <v>18</v>
      </c>
      <c r="J3" s="4" t="s">
        <v>65</v>
      </c>
      <c r="K3" s="1" t="s">
        <v>66</v>
      </c>
    </row>
    <row r="4" spans="1:11">
      <c r="A4" s="4">
        <v>3</v>
      </c>
      <c r="B4" s="4" t="s">
        <v>68</v>
      </c>
      <c r="C4" s="4">
        <v>3</v>
      </c>
      <c r="D4" s="6">
        <v>2</v>
      </c>
      <c r="E4" s="4">
        <f t="shared" ca="1" si="0"/>
        <v>27</v>
      </c>
      <c r="F4" s="4" t="s">
        <v>11</v>
      </c>
      <c r="G4" s="8">
        <v>19.3</v>
      </c>
      <c r="H4" s="8">
        <v>19</v>
      </c>
      <c r="K4" s="1"/>
    </row>
    <row r="5" spans="1:11" ht="15.75">
      <c r="A5" s="4">
        <v>4</v>
      </c>
      <c r="B5" s="4" t="s">
        <v>73</v>
      </c>
      <c r="C5" s="4">
        <v>4</v>
      </c>
      <c r="D5" s="6">
        <v>2</v>
      </c>
      <c r="E5" s="4">
        <f t="shared" ca="1" si="0"/>
        <v>28</v>
      </c>
      <c r="F5" s="4" t="s">
        <v>11</v>
      </c>
      <c r="G5" s="8">
        <v>13.9</v>
      </c>
      <c r="H5" s="8">
        <v>14</v>
      </c>
      <c r="K5" s="12" t="s">
        <v>74</v>
      </c>
    </row>
    <row r="6" spans="1:11" ht="15.75">
      <c r="A6" s="4">
        <v>5</v>
      </c>
      <c r="B6" s="4" t="s">
        <v>81</v>
      </c>
      <c r="C6" s="4">
        <v>5</v>
      </c>
      <c r="D6" s="6">
        <v>2</v>
      </c>
      <c r="E6" s="4">
        <f t="shared" ca="1" si="0"/>
        <v>38</v>
      </c>
      <c r="F6" s="4" t="s">
        <v>11</v>
      </c>
      <c r="G6" s="8">
        <v>21.5</v>
      </c>
      <c r="H6" s="8">
        <v>20.9</v>
      </c>
      <c r="K6" s="13" t="s">
        <v>310</v>
      </c>
    </row>
    <row r="7" spans="1:11" ht="15.75">
      <c r="A7" s="4">
        <v>6</v>
      </c>
      <c r="B7" s="4" t="s">
        <v>84</v>
      </c>
      <c r="C7" s="4">
        <v>6</v>
      </c>
      <c r="D7" s="6">
        <v>1</v>
      </c>
      <c r="E7" s="4">
        <f t="shared" ca="1" si="0"/>
        <v>40</v>
      </c>
      <c r="F7" s="4" t="s">
        <v>11</v>
      </c>
      <c r="G7" s="8">
        <v>14.5</v>
      </c>
      <c r="H7" s="8">
        <v>14.1</v>
      </c>
      <c r="K7" s="13" t="s">
        <v>311</v>
      </c>
    </row>
    <row r="8" spans="1:11" ht="15.75">
      <c r="A8" s="4">
        <v>7</v>
      </c>
      <c r="B8" s="4" t="s">
        <v>87</v>
      </c>
      <c r="C8" s="4">
        <v>7</v>
      </c>
      <c r="D8" s="6">
        <v>2</v>
      </c>
      <c r="E8" s="4">
        <f t="shared" ca="1" si="0"/>
        <v>40</v>
      </c>
      <c r="F8" s="4" t="s">
        <v>11</v>
      </c>
      <c r="G8" s="8">
        <v>15.4</v>
      </c>
      <c r="H8" s="8">
        <v>14.6</v>
      </c>
      <c r="K8" s="13" t="s">
        <v>312</v>
      </c>
    </row>
    <row r="9" spans="1:11" ht="15.75">
      <c r="A9" s="4">
        <v>8</v>
      </c>
      <c r="B9" s="4" t="s">
        <v>90</v>
      </c>
      <c r="C9" s="4">
        <v>8</v>
      </c>
      <c r="D9" s="6">
        <v>1</v>
      </c>
      <c r="E9" s="4">
        <f t="shared" ca="1" si="0"/>
        <v>28</v>
      </c>
      <c r="F9" s="4" t="s">
        <v>11</v>
      </c>
      <c r="G9" s="8">
        <v>17.8</v>
      </c>
      <c r="H9" s="8">
        <v>17.600000000000001</v>
      </c>
      <c r="K9" s="13" t="s">
        <v>313</v>
      </c>
    </row>
    <row r="10" spans="1:11">
      <c r="A10" s="4">
        <v>9</v>
      </c>
      <c r="B10" s="4" t="s">
        <v>93</v>
      </c>
      <c r="C10" s="4">
        <v>9</v>
      </c>
      <c r="D10" s="6">
        <v>1</v>
      </c>
      <c r="E10" s="4">
        <f t="shared" ca="1" si="0"/>
        <v>28</v>
      </c>
      <c r="F10" s="4" t="s">
        <v>11</v>
      </c>
      <c r="G10" s="8">
        <v>22</v>
      </c>
      <c r="H10" s="8">
        <v>22.3</v>
      </c>
    </row>
    <row r="11" spans="1:11">
      <c r="A11" s="4">
        <v>10</v>
      </c>
      <c r="B11" s="4" t="s">
        <v>94</v>
      </c>
      <c r="C11" s="4">
        <v>10</v>
      </c>
      <c r="D11" s="6">
        <v>2</v>
      </c>
      <c r="E11" s="4">
        <f t="shared" ca="1" si="0"/>
        <v>23</v>
      </c>
      <c r="F11" s="4" t="s">
        <v>11</v>
      </c>
      <c r="G11" s="8">
        <v>16.100000000000001</v>
      </c>
      <c r="H11" s="8">
        <v>15.4</v>
      </c>
    </row>
    <row r="12" spans="1:11">
      <c r="A12" s="4">
        <v>11</v>
      </c>
      <c r="B12" s="4" t="s">
        <v>95</v>
      </c>
      <c r="C12" s="4">
        <v>11</v>
      </c>
      <c r="D12" s="6">
        <v>2</v>
      </c>
      <c r="E12" s="4">
        <f t="shared" ca="1" si="0"/>
        <v>30</v>
      </c>
      <c r="F12" s="4" t="s">
        <v>11</v>
      </c>
      <c r="G12" s="8">
        <v>18.5</v>
      </c>
      <c r="H12" s="8">
        <v>18.2</v>
      </c>
    </row>
    <row r="13" spans="1:11">
      <c r="A13" s="4">
        <v>12</v>
      </c>
      <c r="B13" s="4" t="s">
        <v>97</v>
      </c>
      <c r="C13" s="4">
        <v>12</v>
      </c>
      <c r="D13" s="6">
        <v>2</v>
      </c>
      <c r="E13" s="4">
        <f t="shared" ca="1" si="0"/>
        <v>64</v>
      </c>
      <c r="F13" s="4" t="s">
        <v>11</v>
      </c>
      <c r="G13" s="8">
        <v>14.6</v>
      </c>
      <c r="H13" s="8">
        <v>15.2</v>
      </c>
    </row>
    <row r="14" spans="1:11">
      <c r="A14" s="4">
        <v>13</v>
      </c>
      <c r="B14" s="4" t="s">
        <v>104</v>
      </c>
      <c r="C14" s="4">
        <v>13</v>
      </c>
      <c r="D14" s="6">
        <v>1</v>
      </c>
      <c r="E14" s="4">
        <f t="shared" ca="1" si="0"/>
        <v>35</v>
      </c>
      <c r="F14" s="4" t="s">
        <v>11</v>
      </c>
      <c r="G14" s="8">
        <v>20.8</v>
      </c>
      <c r="H14" s="8">
        <v>20.6</v>
      </c>
      <c r="I14" s="9"/>
    </row>
    <row r="15" spans="1:11">
      <c r="A15" s="4">
        <v>14</v>
      </c>
      <c r="B15" s="4" t="s">
        <v>106</v>
      </c>
      <c r="C15" s="4">
        <v>14</v>
      </c>
      <c r="D15" s="6">
        <v>2</v>
      </c>
      <c r="E15" s="4">
        <f t="shared" ca="1" si="0"/>
        <v>37</v>
      </c>
      <c r="F15" s="4" t="s">
        <v>11</v>
      </c>
      <c r="G15" s="8">
        <v>23</v>
      </c>
      <c r="H15" s="8">
        <v>24.5</v>
      </c>
    </row>
    <row r="16" spans="1:11">
      <c r="A16" s="4">
        <v>15</v>
      </c>
      <c r="B16" s="4" t="s">
        <v>121</v>
      </c>
      <c r="C16" s="4">
        <v>15</v>
      </c>
      <c r="D16" s="6">
        <v>1</v>
      </c>
      <c r="E16" s="4">
        <f t="shared" ca="1" si="0"/>
        <v>39</v>
      </c>
      <c r="F16" s="4" t="s">
        <v>11</v>
      </c>
      <c r="G16" s="8">
        <v>19.3</v>
      </c>
      <c r="H16" s="8">
        <v>20.399999999999999</v>
      </c>
    </row>
    <row r="17" spans="1:8">
      <c r="A17" s="4">
        <v>16</v>
      </c>
      <c r="B17" s="4" t="s">
        <v>124</v>
      </c>
      <c r="C17" s="4">
        <v>16</v>
      </c>
      <c r="D17" s="6">
        <v>1</v>
      </c>
      <c r="E17" s="4">
        <f t="shared" ca="1" si="0"/>
        <v>62</v>
      </c>
      <c r="F17" s="4" t="s">
        <v>11</v>
      </c>
      <c r="G17" s="8">
        <v>16.600000000000001</v>
      </c>
      <c r="H17" s="8">
        <v>16.7</v>
      </c>
    </row>
    <row r="18" spans="1:8">
      <c r="A18" s="4">
        <v>17</v>
      </c>
      <c r="B18" s="4" t="s">
        <v>128</v>
      </c>
      <c r="C18" s="4">
        <v>17</v>
      </c>
      <c r="D18" s="6">
        <v>2</v>
      </c>
      <c r="E18" s="4">
        <f t="shared" ca="1" si="0"/>
        <v>67</v>
      </c>
      <c r="F18" s="4" t="s">
        <v>11</v>
      </c>
      <c r="G18" s="8">
        <v>21.5</v>
      </c>
      <c r="H18" s="8">
        <v>21.5</v>
      </c>
    </row>
    <row r="19" spans="1:8">
      <c r="A19" s="4">
        <v>18</v>
      </c>
      <c r="B19" s="4" t="s">
        <v>134</v>
      </c>
      <c r="C19" s="4">
        <v>18</v>
      </c>
      <c r="D19" s="6">
        <v>1</v>
      </c>
      <c r="E19" s="4">
        <f t="shared" ca="1" si="0"/>
        <v>46</v>
      </c>
      <c r="F19" s="4" t="s">
        <v>11</v>
      </c>
      <c r="G19" s="8">
        <v>21</v>
      </c>
      <c r="H19" s="8">
        <v>22.4</v>
      </c>
    </row>
    <row r="20" spans="1:8">
      <c r="A20" s="4">
        <v>19</v>
      </c>
      <c r="B20" s="4" t="s">
        <v>139</v>
      </c>
      <c r="C20" s="4">
        <v>19</v>
      </c>
      <c r="D20" s="6">
        <v>2</v>
      </c>
      <c r="E20" s="4">
        <f t="shared" ca="1" si="0"/>
        <v>58</v>
      </c>
      <c r="F20" s="4" t="s">
        <v>11</v>
      </c>
      <c r="G20" s="8">
        <v>15.9</v>
      </c>
      <c r="H20" s="8">
        <v>16.100000000000001</v>
      </c>
    </row>
    <row r="21" spans="1:8">
      <c r="A21" s="4">
        <v>20</v>
      </c>
      <c r="B21" s="4" t="s">
        <v>140</v>
      </c>
      <c r="C21" s="4">
        <v>20</v>
      </c>
      <c r="D21" s="6">
        <v>2</v>
      </c>
      <c r="E21" s="4">
        <f t="shared" ca="1" si="0"/>
        <v>59</v>
      </c>
      <c r="F21" s="4" t="s">
        <v>11</v>
      </c>
      <c r="G21" s="8">
        <v>9.5</v>
      </c>
      <c r="H21" s="8">
        <v>0.6</v>
      </c>
    </row>
    <row r="22" spans="1:8">
      <c r="A22" s="4">
        <v>21</v>
      </c>
      <c r="B22" s="4" t="s">
        <v>142</v>
      </c>
      <c r="C22" s="4">
        <v>21</v>
      </c>
      <c r="D22" s="6">
        <v>2</v>
      </c>
      <c r="E22" s="4">
        <f t="shared" ca="1" si="0"/>
        <v>26</v>
      </c>
      <c r="F22" s="4" t="s">
        <v>11</v>
      </c>
      <c r="G22" s="8">
        <v>24.1</v>
      </c>
      <c r="H22" s="8">
        <v>23.1</v>
      </c>
    </row>
    <row r="23" spans="1:8">
      <c r="A23" s="4">
        <v>22</v>
      </c>
      <c r="B23" s="4" t="s">
        <v>145</v>
      </c>
      <c r="C23" s="4">
        <v>22</v>
      </c>
      <c r="D23" s="6">
        <v>1</v>
      </c>
      <c r="E23" s="4">
        <f t="shared" ca="1" si="0"/>
        <v>55</v>
      </c>
      <c r="F23" s="4" t="s">
        <v>11</v>
      </c>
      <c r="G23" s="8">
        <v>14.7</v>
      </c>
      <c r="H23" s="8">
        <v>14.4</v>
      </c>
    </row>
    <row r="24" spans="1:8">
      <c r="A24" s="4">
        <v>23</v>
      </c>
      <c r="B24" s="4" t="s">
        <v>150</v>
      </c>
      <c r="C24" s="4">
        <v>23</v>
      </c>
      <c r="D24" s="6">
        <v>1</v>
      </c>
      <c r="E24" s="4">
        <f t="shared" ca="1" si="0"/>
        <v>27</v>
      </c>
      <c r="F24" s="4" t="s">
        <v>11</v>
      </c>
      <c r="G24" s="8">
        <v>16.899999999999999</v>
      </c>
      <c r="H24" s="8">
        <v>16.3</v>
      </c>
    </row>
    <row r="25" spans="1:8">
      <c r="A25" s="4">
        <v>24</v>
      </c>
      <c r="B25" s="4" t="s">
        <v>152</v>
      </c>
      <c r="C25" s="4">
        <v>24</v>
      </c>
      <c r="D25" s="6">
        <v>1</v>
      </c>
      <c r="E25" s="4">
        <f t="shared" ca="1" si="0"/>
        <v>38</v>
      </c>
      <c r="F25" s="4" t="s">
        <v>11</v>
      </c>
      <c r="G25" s="8">
        <v>14.9</v>
      </c>
      <c r="H25" s="8">
        <v>15.2</v>
      </c>
    </row>
    <row r="26" spans="1:8">
      <c r="A26" s="4">
        <v>25</v>
      </c>
      <c r="B26" s="4" t="s">
        <v>153</v>
      </c>
      <c r="C26" s="4">
        <v>25</v>
      </c>
      <c r="D26" s="6">
        <v>2</v>
      </c>
      <c r="E26" s="4">
        <f t="shared" ca="1" si="0"/>
        <v>57</v>
      </c>
      <c r="F26" s="4" t="s">
        <v>11</v>
      </c>
      <c r="G26" s="8">
        <v>19</v>
      </c>
      <c r="H26" s="8">
        <v>18.3</v>
      </c>
    </row>
    <row r="27" spans="1:8">
      <c r="A27" s="4">
        <v>26</v>
      </c>
      <c r="B27" s="4" t="s">
        <v>159</v>
      </c>
      <c r="C27" s="4">
        <v>26</v>
      </c>
      <c r="D27" s="6">
        <v>2</v>
      </c>
      <c r="E27" s="4">
        <f t="shared" ca="1" si="0"/>
        <v>70</v>
      </c>
      <c r="F27" s="4" t="s">
        <v>11</v>
      </c>
      <c r="G27" s="8">
        <v>15</v>
      </c>
      <c r="H27" s="8">
        <v>15.5</v>
      </c>
    </row>
    <row r="28" spans="1:8">
      <c r="A28" s="4">
        <v>27</v>
      </c>
      <c r="B28" s="4" t="s">
        <v>163</v>
      </c>
      <c r="C28" s="4">
        <v>27</v>
      </c>
      <c r="D28" s="6">
        <v>1</v>
      </c>
      <c r="E28" s="4">
        <f t="shared" ca="1" si="0"/>
        <v>43</v>
      </c>
      <c r="F28" s="4" t="s">
        <v>11</v>
      </c>
      <c r="G28" s="8">
        <v>9.5</v>
      </c>
      <c r="H28" s="8">
        <v>10.5</v>
      </c>
    </row>
    <row r="29" spans="1:8">
      <c r="A29" s="4">
        <v>1</v>
      </c>
      <c r="B29" s="4" t="s">
        <v>166</v>
      </c>
      <c r="C29" s="4">
        <v>28</v>
      </c>
      <c r="D29" s="5">
        <v>2</v>
      </c>
      <c r="E29" s="4">
        <f t="shared" ca="1" si="0"/>
        <v>64</v>
      </c>
      <c r="F29" s="4" t="s">
        <v>12</v>
      </c>
      <c r="G29" s="4">
        <v>24.3</v>
      </c>
      <c r="H29" s="4">
        <v>26.56</v>
      </c>
    </row>
    <row r="30" spans="1:8">
      <c r="A30" s="4">
        <v>2</v>
      </c>
      <c r="B30" s="4" t="s">
        <v>168</v>
      </c>
      <c r="C30" s="4">
        <v>29</v>
      </c>
      <c r="D30" s="5">
        <v>2</v>
      </c>
      <c r="E30" s="4">
        <f t="shared" ca="1" si="0"/>
        <v>66</v>
      </c>
      <c r="F30" s="4" t="s">
        <v>12</v>
      </c>
      <c r="G30" s="4">
        <v>39.03</v>
      </c>
      <c r="H30" s="4">
        <v>33.4</v>
      </c>
    </row>
    <row r="31" spans="1:8">
      <c r="A31" s="4">
        <v>3</v>
      </c>
      <c r="B31" s="4" t="s">
        <v>169</v>
      </c>
      <c r="C31" s="4">
        <v>30</v>
      </c>
      <c r="D31" s="5">
        <v>2</v>
      </c>
      <c r="E31" s="4">
        <f t="shared" ca="1" si="0"/>
        <v>41</v>
      </c>
      <c r="F31" s="4" t="s">
        <v>12</v>
      </c>
      <c r="G31" s="4">
        <v>33.4</v>
      </c>
      <c r="H31" s="4">
        <v>43.01</v>
      </c>
    </row>
    <row r="32" spans="1:8">
      <c r="A32" s="4">
        <v>4</v>
      </c>
      <c r="B32" s="4" t="s">
        <v>170</v>
      </c>
      <c r="C32" s="4">
        <v>31</v>
      </c>
      <c r="D32" s="5">
        <v>2</v>
      </c>
      <c r="E32" s="4">
        <f t="shared" ca="1" si="0"/>
        <v>30</v>
      </c>
      <c r="F32" s="4" t="s">
        <v>12</v>
      </c>
      <c r="G32" s="4">
        <v>38.19</v>
      </c>
      <c r="H32" s="4">
        <v>38.340000000000003</v>
      </c>
    </row>
    <row r="33" spans="1:8">
      <c r="A33" s="4">
        <v>5</v>
      </c>
      <c r="B33" s="4" t="s">
        <v>172</v>
      </c>
      <c r="C33" s="4">
        <v>32</v>
      </c>
      <c r="D33" s="5">
        <v>2</v>
      </c>
      <c r="E33" s="4">
        <f t="shared" ca="1" si="0"/>
        <v>30</v>
      </c>
      <c r="F33" s="4" t="s">
        <v>12</v>
      </c>
      <c r="G33" s="4">
        <v>27.5</v>
      </c>
      <c r="H33" s="4">
        <v>35.549999999999997</v>
      </c>
    </row>
    <row r="34" spans="1:8">
      <c r="A34" s="4">
        <v>6</v>
      </c>
      <c r="B34" s="4" t="s">
        <v>173</v>
      </c>
      <c r="C34" s="4">
        <v>33</v>
      </c>
      <c r="D34" s="5">
        <v>2</v>
      </c>
      <c r="E34" s="4">
        <f t="shared" ca="1" si="0"/>
        <v>47</v>
      </c>
      <c r="F34" s="4" t="s">
        <v>12</v>
      </c>
      <c r="G34" s="4">
        <v>24.88</v>
      </c>
      <c r="H34" s="4">
        <v>26.82</v>
      </c>
    </row>
    <row r="35" spans="1:8">
      <c r="A35" s="4">
        <v>7</v>
      </c>
      <c r="B35" s="4" t="s">
        <v>174</v>
      </c>
      <c r="C35" s="4">
        <v>34</v>
      </c>
      <c r="D35" s="5">
        <v>2</v>
      </c>
      <c r="E35" s="4">
        <f t="shared" ca="1" si="0"/>
        <v>28</v>
      </c>
      <c r="F35" s="4" t="s">
        <v>12</v>
      </c>
      <c r="G35" s="4">
        <v>32.909999999999997</v>
      </c>
      <c r="H35" s="4">
        <v>18.079999999999998</v>
      </c>
    </row>
    <row r="36" spans="1:8">
      <c r="A36" s="4">
        <v>8</v>
      </c>
      <c r="B36" s="4" t="s">
        <v>177</v>
      </c>
      <c r="C36" s="4">
        <v>35</v>
      </c>
      <c r="D36" s="5">
        <v>2</v>
      </c>
      <c r="E36" s="4">
        <f t="shared" ca="1" si="0"/>
        <v>21</v>
      </c>
      <c r="F36" s="4" t="s">
        <v>12</v>
      </c>
      <c r="G36" s="4">
        <v>16.96</v>
      </c>
      <c r="H36" s="4">
        <v>37.770000000000003</v>
      </c>
    </row>
    <row r="37" spans="1:8">
      <c r="A37" s="4">
        <v>9</v>
      </c>
      <c r="B37" s="4" t="s">
        <v>178</v>
      </c>
      <c r="C37" s="4">
        <v>36</v>
      </c>
      <c r="D37" s="5">
        <v>2</v>
      </c>
      <c r="E37" s="4">
        <f t="shared" ca="1" si="0"/>
        <v>40</v>
      </c>
      <c r="F37" s="4" t="s">
        <v>12</v>
      </c>
      <c r="G37" s="4">
        <v>27.09</v>
      </c>
      <c r="H37" s="4">
        <v>47.48</v>
      </c>
    </row>
    <row r="38" spans="1:8">
      <c r="A38" s="4">
        <v>10</v>
      </c>
      <c r="B38" s="4" t="s">
        <v>179</v>
      </c>
      <c r="C38" s="4">
        <v>37</v>
      </c>
      <c r="D38" s="5">
        <v>2</v>
      </c>
      <c r="E38" s="4">
        <f t="shared" ca="1" si="0"/>
        <v>42</v>
      </c>
      <c r="F38" s="4" t="s">
        <v>12</v>
      </c>
      <c r="G38" s="4">
        <v>53.56</v>
      </c>
      <c r="H38" s="4">
        <v>39.42</v>
      </c>
    </row>
    <row r="39" spans="1:8">
      <c r="A39" s="4">
        <v>11</v>
      </c>
      <c r="B39" s="4" t="s">
        <v>180</v>
      </c>
      <c r="C39" s="4">
        <v>38</v>
      </c>
      <c r="D39" s="5">
        <v>2</v>
      </c>
      <c r="E39" s="4">
        <f t="shared" ca="1" si="0"/>
        <v>55</v>
      </c>
      <c r="F39" s="4" t="s">
        <v>12</v>
      </c>
      <c r="G39" s="4">
        <v>42.08</v>
      </c>
      <c r="H39" s="4">
        <v>37.340000000000003</v>
      </c>
    </row>
    <row r="40" spans="1:8">
      <c r="A40" s="4">
        <v>12</v>
      </c>
      <c r="B40" s="4" t="s">
        <v>182</v>
      </c>
      <c r="C40" s="4">
        <v>39</v>
      </c>
      <c r="D40" s="5">
        <v>2</v>
      </c>
      <c r="E40" s="4">
        <f t="shared" ca="1" si="0"/>
        <v>23</v>
      </c>
      <c r="F40" s="4" t="s">
        <v>12</v>
      </c>
      <c r="G40" s="4">
        <v>31.79</v>
      </c>
      <c r="H40" s="4">
        <v>20.89</v>
      </c>
    </row>
    <row r="41" spans="1:8">
      <c r="A41" s="4">
        <v>13</v>
      </c>
      <c r="B41" s="4" t="s">
        <v>183</v>
      </c>
      <c r="C41" s="4">
        <v>40</v>
      </c>
      <c r="D41" s="5">
        <v>2</v>
      </c>
      <c r="E41" s="4">
        <f t="shared" ca="1" si="0"/>
        <v>68</v>
      </c>
      <c r="F41" s="4" t="s">
        <v>12</v>
      </c>
      <c r="G41" s="4">
        <v>35.869999999999997</v>
      </c>
      <c r="H41" s="4">
        <v>33.75</v>
      </c>
    </row>
    <row r="42" spans="1:8">
      <c r="A42" s="4">
        <v>14</v>
      </c>
      <c r="B42" s="4" t="s">
        <v>184</v>
      </c>
      <c r="C42" s="4">
        <v>41</v>
      </c>
      <c r="D42" s="5">
        <v>2</v>
      </c>
      <c r="E42" s="4">
        <f t="shared" ca="1" si="0"/>
        <v>69</v>
      </c>
      <c r="F42" s="4" t="s">
        <v>12</v>
      </c>
      <c r="G42" s="4">
        <v>20.89</v>
      </c>
      <c r="H42" s="4">
        <v>21.79</v>
      </c>
    </row>
    <row r="43" spans="1:8">
      <c r="A43" s="4">
        <v>15</v>
      </c>
      <c r="B43" s="4" t="s">
        <v>185</v>
      </c>
      <c r="C43" s="4">
        <v>42</v>
      </c>
      <c r="D43" s="5">
        <v>2</v>
      </c>
      <c r="E43" s="4">
        <f t="shared" ca="1" si="0"/>
        <v>26</v>
      </c>
      <c r="F43" s="4" t="s">
        <v>12</v>
      </c>
      <c r="G43" s="4">
        <v>21.8</v>
      </c>
      <c r="H43" s="4">
        <v>23.85</v>
      </c>
    </row>
    <row r="44" spans="1:8">
      <c r="A44" s="4">
        <v>16</v>
      </c>
      <c r="B44" s="4" t="s">
        <v>186</v>
      </c>
      <c r="C44" s="4">
        <v>43</v>
      </c>
      <c r="D44" s="5">
        <v>2</v>
      </c>
      <c r="E44" s="4">
        <f t="shared" ca="1" si="0"/>
        <v>20</v>
      </c>
      <c r="F44" s="4" t="s">
        <v>12</v>
      </c>
      <c r="G44" s="4">
        <v>34.58</v>
      </c>
      <c r="H44" s="4">
        <v>21.24</v>
      </c>
    </row>
    <row r="45" spans="1:8">
      <c r="A45" s="4">
        <v>17</v>
      </c>
      <c r="B45" s="4" t="s">
        <v>187</v>
      </c>
      <c r="C45" s="4">
        <v>44</v>
      </c>
      <c r="D45" s="5">
        <v>1</v>
      </c>
      <c r="E45" s="4">
        <f t="shared" ca="1" si="0"/>
        <v>64</v>
      </c>
      <c r="F45" s="4" t="s">
        <v>12</v>
      </c>
      <c r="G45" s="4">
        <v>28.17</v>
      </c>
      <c r="H45" s="4">
        <v>32.19</v>
      </c>
    </row>
    <row r="46" spans="1:8">
      <c r="A46" s="4">
        <v>18</v>
      </c>
      <c r="B46" s="4" t="s">
        <v>188</v>
      </c>
      <c r="C46" s="4">
        <v>45</v>
      </c>
      <c r="D46" s="5">
        <v>1</v>
      </c>
      <c r="E46" s="4">
        <f t="shared" ca="1" si="0"/>
        <v>47</v>
      </c>
      <c r="F46" s="4" t="s">
        <v>12</v>
      </c>
      <c r="G46" s="4">
        <v>22.02</v>
      </c>
      <c r="H46" s="4">
        <v>22.66</v>
      </c>
    </row>
    <row r="47" spans="1:8">
      <c r="A47" s="4">
        <v>19</v>
      </c>
      <c r="B47" s="4" t="s">
        <v>189</v>
      </c>
      <c r="C47" s="4">
        <v>46</v>
      </c>
      <c r="D47" s="5">
        <v>2</v>
      </c>
      <c r="E47" s="4">
        <f t="shared" ca="1" si="0"/>
        <v>68</v>
      </c>
      <c r="F47" s="4" t="s">
        <v>12</v>
      </c>
      <c r="G47" s="4">
        <v>10.89</v>
      </c>
      <c r="H47" s="4">
        <v>21.84</v>
      </c>
    </row>
    <row r="48" spans="1:8">
      <c r="A48" s="4">
        <v>20</v>
      </c>
      <c r="B48" s="4" t="s">
        <v>190</v>
      </c>
      <c r="C48" s="4">
        <v>47</v>
      </c>
      <c r="D48" s="5">
        <v>1</v>
      </c>
      <c r="E48" s="4">
        <f t="shared" ca="1" si="0"/>
        <v>30</v>
      </c>
      <c r="F48" s="4" t="s">
        <v>12</v>
      </c>
      <c r="G48" s="4">
        <v>30.78</v>
      </c>
      <c r="H48" s="4">
        <v>28.89</v>
      </c>
    </row>
    <row r="49" spans="1:8">
      <c r="A49" s="4">
        <v>21</v>
      </c>
      <c r="B49" s="4" t="s">
        <v>191</v>
      </c>
      <c r="C49" s="4">
        <v>48</v>
      </c>
      <c r="D49" s="5">
        <v>1</v>
      </c>
      <c r="E49" s="4">
        <f t="shared" ca="1" si="0"/>
        <v>62</v>
      </c>
      <c r="F49" s="4" t="s">
        <v>12</v>
      </c>
      <c r="G49" s="4">
        <v>32.479999999999997</v>
      </c>
      <c r="H49" s="4">
        <v>33.89</v>
      </c>
    </row>
    <row r="50" spans="1:8">
      <c r="A50" s="4">
        <v>22</v>
      </c>
      <c r="B50" s="4" t="s">
        <v>192</v>
      </c>
      <c r="C50" s="4">
        <v>49</v>
      </c>
      <c r="D50" s="5">
        <v>1</v>
      </c>
      <c r="E50" s="4">
        <f t="shared" ca="1" si="0"/>
        <v>50</v>
      </c>
      <c r="F50" s="4" t="s">
        <v>12</v>
      </c>
      <c r="G50" s="4">
        <v>49.96</v>
      </c>
      <c r="H50" s="4">
        <v>36.15</v>
      </c>
    </row>
    <row r="51" spans="1:8">
      <c r="A51" s="4">
        <v>23</v>
      </c>
      <c r="B51" s="4" t="s">
        <v>193</v>
      </c>
      <c r="C51" s="4">
        <v>50</v>
      </c>
      <c r="D51" s="5">
        <v>1</v>
      </c>
      <c r="E51" s="4">
        <f t="shared" ca="1" si="0"/>
        <v>39</v>
      </c>
      <c r="F51" s="4" t="s">
        <v>12</v>
      </c>
      <c r="G51" s="4">
        <v>38.65</v>
      </c>
      <c r="H51" s="4">
        <v>39.549999999999997</v>
      </c>
    </row>
    <row r="52" spans="1:8">
      <c r="A52" s="4">
        <v>24</v>
      </c>
      <c r="B52" s="4" t="s">
        <v>194</v>
      </c>
      <c r="C52" s="4">
        <v>51</v>
      </c>
      <c r="D52" s="5">
        <v>1</v>
      </c>
      <c r="E52" s="4">
        <f t="shared" ca="1" si="0"/>
        <v>68</v>
      </c>
      <c r="F52" s="4" t="s">
        <v>12</v>
      </c>
      <c r="G52" s="4">
        <v>26.56</v>
      </c>
      <c r="H52" s="4">
        <v>25.81</v>
      </c>
    </row>
    <row r="53" spans="1:8">
      <c r="A53" s="4">
        <v>25</v>
      </c>
      <c r="B53" s="4" t="s">
        <v>195</v>
      </c>
      <c r="C53" s="4">
        <v>52</v>
      </c>
      <c r="D53" s="5">
        <v>1</v>
      </c>
      <c r="E53" s="4">
        <f t="shared" ca="1" si="0"/>
        <v>50</v>
      </c>
      <c r="F53" s="4" t="s">
        <v>12</v>
      </c>
      <c r="G53" s="4">
        <v>20.55</v>
      </c>
      <c r="H53" s="4">
        <v>27.64</v>
      </c>
    </row>
    <row r="54" spans="1:8">
      <c r="A54" s="4">
        <v>26</v>
      </c>
      <c r="B54" s="4" t="s">
        <v>196</v>
      </c>
      <c r="C54" s="4">
        <v>53</v>
      </c>
      <c r="D54" s="5">
        <v>1</v>
      </c>
      <c r="E54" s="4">
        <f t="shared" ca="1" si="0"/>
        <v>27</v>
      </c>
      <c r="F54" s="4" t="s">
        <v>12</v>
      </c>
      <c r="G54" s="4">
        <v>23.05</v>
      </c>
      <c r="H54" s="4">
        <v>29.49</v>
      </c>
    </row>
    <row r="55" spans="1:8">
      <c r="A55" s="4">
        <v>27</v>
      </c>
      <c r="B55" s="4" t="s">
        <v>197</v>
      </c>
      <c r="C55" s="4">
        <v>54</v>
      </c>
      <c r="D55" s="5">
        <v>1</v>
      </c>
      <c r="E55" s="4">
        <f t="shared" ca="1" si="0"/>
        <v>42</v>
      </c>
      <c r="F55" s="4" t="s">
        <v>12</v>
      </c>
      <c r="G55" s="4">
        <v>31.49</v>
      </c>
      <c r="H55" s="4">
        <v>24.58</v>
      </c>
    </row>
    <row r="56" spans="1:8">
      <c r="A56" s="4">
        <v>1</v>
      </c>
      <c r="B56" s="4" t="s">
        <v>198</v>
      </c>
      <c r="C56" s="4">
        <v>55</v>
      </c>
      <c r="D56" s="5">
        <v>2</v>
      </c>
      <c r="E56" s="4">
        <f t="shared" ca="1" si="0"/>
        <v>44</v>
      </c>
      <c r="F56" s="4" t="s">
        <v>13</v>
      </c>
      <c r="G56" s="4">
        <v>27.17</v>
      </c>
      <c r="H56" s="4">
        <v>26.5</v>
      </c>
    </row>
    <row r="57" spans="1:8">
      <c r="A57" s="4">
        <v>2</v>
      </c>
      <c r="B57" s="4" t="s">
        <v>199</v>
      </c>
      <c r="C57" s="4">
        <v>56</v>
      </c>
      <c r="D57" s="5">
        <v>1</v>
      </c>
      <c r="E57" s="4">
        <f t="shared" ca="1" si="0"/>
        <v>41</v>
      </c>
      <c r="F57" s="4" t="s">
        <v>13</v>
      </c>
      <c r="G57" s="4">
        <v>27.29</v>
      </c>
      <c r="H57" s="4">
        <v>27.2</v>
      </c>
    </row>
    <row r="58" spans="1:8">
      <c r="A58" s="4">
        <v>3</v>
      </c>
      <c r="B58" s="4" t="s">
        <v>200</v>
      </c>
      <c r="C58" s="4">
        <v>57</v>
      </c>
      <c r="D58" s="5">
        <v>1</v>
      </c>
      <c r="E58" s="4">
        <f t="shared" ca="1" si="0"/>
        <v>56</v>
      </c>
      <c r="F58" s="4" t="s">
        <v>13</v>
      </c>
      <c r="G58" s="4">
        <v>22.16</v>
      </c>
      <c r="H58" s="4">
        <v>24.89</v>
      </c>
    </row>
    <row r="59" spans="1:8">
      <c r="A59" s="4">
        <v>4</v>
      </c>
      <c r="B59" s="4" t="s">
        <v>201</v>
      </c>
      <c r="C59" s="4">
        <v>58</v>
      </c>
      <c r="D59" s="5">
        <v>2</v>
      </c>
      <c r="E59" s="4">
        <f t="shared" ca="1" si="0"/>
        <v>44</v>
      </c>
      <c r="F59" s="4" t="s">
        <v>13</v>
      </c>
      <c r="G59" s="4">
        <v>19.149999999999999</v>
      </c>
      <c r="H59" s="4">
        <v>17.87</v>
      </c>
    </row>
    <row r="60" spans="1:8">
      <c r="A60" s="4">
        <v>5</v>
      </c>
      <c r="B60" s="4" t="s">
        <v>202</v>
      </c>
      <c r="C60" s="4">
        <v>59</v>
      </c>
      <c r="D60" s="5">
        <v>2</v>
      </c>
      <c r="E60" s="4">
        <f t="shared" ca="1" si="0"/>
        <v>38</v>
      </c>
      <c r="F60" s="4" t="s">
        <v>13</v>
      </c>
      <c r="G60" s="4">
        <v>27.94</v>
      </c>
      <c r="H60" s="4">
        <v>9.82</v>
      </c>
    </row>
    <row r="61" spans="1:8">
      <c r="A61" s="4">
        <v>6</v>
      </c>
      <c r="B61" s="4" t="s">
        <v>203</v>
      </c>
      <c r="C61" s="4">
        <v>60</v>
      </c>
      <c r="D61" s="5">
        <v>1</v>
      </c>
      <c r="E61" s="4">
        <f t="shared" ca="1" si="0"/>
        <v>69</v>
      </c>
      <c r="F61" s="4" t="s">
        <v>13</v>
      </c>
      <c r="G61" s="4">
        <v>26.18</v>
      </c>
      <c r="H61" s="4">
        <v>34.450000000000003</v>
      </c>
    </row>
    <row r="62" spans="1:8">
      <c r="A62" s="4">
        <v>7</v>
      </c>
      <c r="B62" s="4" t="s">
        <v>203</v>
      </c>
      <c r="C62" s="4">
        <v>61</v>
      </c>
      <c r="D62" s="5">
        <v>1</v>
      </c>
      <c r="E62" s="4">
        <f t="shared" ca="1" si="0"/>
        <v>20</v>
      </c>
      <c r="F62" s="4" t="s">
        <v>13</v>
      </c>
      <c r="G62" s="4">
        <v>6.01</v>
      </c>
      <c r="H62" s="4">
        <v>4.2699999999999996</v>
      </c>
    </row>
    <row r="63" spans="1:8">
      <c r="A63" s="4">
        <v>8</v>
      </c>
      <c r="B63" s="4" t="s">
        <v>204</v>
      </c>
      <c r="C63" s="4">
        <v>62</v>
      </c>
      <c r="D63" s="5">
        <v>1</v>
      </c>
      <c r="E63" s="4">
        <f t="shared" ca="1" si="0"/>
        <v>51</v>
      </c>
      <c r="F63" s="4" t="s">
        <v>13</v>
      </c>
      <c r="G63" s="4">
        <v>23.57</v>
      </c>
      <c r="H63" s="4">
        <v>16.78</v>
      </c>
    </row>
    <row r="64" spans="1:8">
      <c r="A64" s="4">
        <v>9</v>
      </c>
      <c r="B64" s="4" t="s">
        <v>205</v>
      </c>
      <c r="C64" s="4">
        <v>63</v>
      </c>
      <c r="D64" s="5">
        <v>1</v>
      </c>
      <c r="E64" s="4">
        <f t="shared" ca="1" si="0"/>
        <v>37</v>
      </c>
      <c r="F64" s="4" t="s">
        <v>13</v>
      </c>
      <c r="G64" s="4">
        <v>24.22</v>
      </c>
      <c r="H64" s="4">
        <v>25.34</v>
      </c>
    </row>
    <row r="65" spans="1:8">
      <c r="A65" s="4">
        <v>10</v>
      </c>
      <c r="B65" s="4" t="s">
        <v>206</v>
      </c>
      <c r="C65" s="4">
        <v>64</v>
      </c>
      <c r="D65" s="5">
        <v>1</v>
      </c>
      <c r="E65" s="4">
        <f t="shared" ca="1" si="0"/>
        <v>31</v>
      </c>
      <c r="F65" s="4" t="s">
        <v>13</v>
      </c>
      <c r="G65" s="4">
        <v>22.74</v>
      </c>
      <c r="H65" s="4">
        <v>26.96</v>
      </c>
    </row>
    <row r="66" spans="1:8">
      <c r="A66" s="4">
        <v>11</v>
      </c>
      <c r="B66" s="4" t="s">
        <v>207</v>
      </c>
      <c r="C66" s="4">
        <v>65</v>
      </c>
      <c r="D66" s="5">
        <v>1</v>
      </c>
      <c r="E66" s="4">
        <f t="shared" ca="1" si="0"/>
        <v>35</v>
      </c>
      <c r="F66" s="4" t="s">
        <v>13</v>
      </c>
      <c r="G66" s="4">
        <v>26.96</v>
      </c>
      <c r="H66" s="4">
        <v>22.74</v>
      </c>
    </row>
    <row r="67" spans="1:8">
      <c r="A67" s="4">
        <v>12</v>
      </c>
      <c r="B67" s="4" t="s">
        <v>208</v>
      </c>
      <c r="C67" s="4">
        <v>66</v>
      </c>
      <c r="D67" s="5">
        <v>1</v>
      </c>
      <c r="E67" s="4">
        <f t="shared" ref="E67:E130" ca="1" si="1">RANDBETWEEN(18,70)</f>
        <v>64</v>
      </c>
      <c r="F67" s="4" t="s">
        <v>13</v>
      </c>
      <c r="G67" s="4">
        <v>36.29</v>
      </c>
      <c r="H67" s="4">
        <v>28.43</v>
      </c>
    </row>
    <row r="68" spans="1:8">
      <c r="A68" s="4">
        <v>13</v>
      </c>
      <c r="B68" s="4" t="s">
        <v>209</v>
      </c>
      <c r="C68" s="4">
        <v>67</v>
      </c>
      <c r="D68" s="5">
        <v>2</v>
      </c>
      <c r="E68" s="4">
        <f t="shared" ca="1" si="1"/>
        <v>23</v>
      </c>
      <c r="F68" s="4" t="s">
        <v>13</v>
      </c>
      <c r="G68" s="4">
        <v>28.43</v>
      </c>
      <c r="H68" s="4">
        <v>36.29</v>
      </c>
    </row>
    <row r="69" spans="1:8">
      <c r="A69" s="4">
        <v>14</v>
      </c>
      <c r="B69" s="4" t="s">
        <v>210</v>
      </c>
      <c r="C69" s="4">
        <v>68</v>
      </c>
      <c r="D69" s="5">
        <v>1</v>
      </c>
      <c r="E69" s="4">
        <f t="shared" ca="1" si="1"/>
        <v>44</v>
      </c>
      <c r="F69" s="4" t="s">
        <v>13</v>
      </c>
      <c r="G69" s="4">
        <v>16.600000000000001</v>
      </c>
      <c r="H69" s="4">
        <v>22.83</v>
      </c>
    </row>
    <row r="70" spans="1:8">
      <c r="A70" s="4">
        <v>15</v>
      </c>
      <c r="B70" s="4" t="s">
        <v>211</v>
      </c>
      <c r="C70" s="4">
        <v>69</v>
      </c>
      <c r="D70" s="5">
        <v>2</v>
      </c>
      <c r="E70" s="4">
        <f t="shared" ca="1" si="1"/>
        <v>67</v>
      </c>
      <c r="F70" s="4" t="s">
        <v>13</v>
      </c>
      <c r="G70" s="4">
        <v>3.23</v>
      </c>
      <c r="H70" s="4">
        <v>20.350000000000001</v>
      </c>
    </row>
    <row r="71" spans="1:8">
      <c r="A71" s="4">
        <v>16</v>
      </c>
      <c r="B71" s="4" t="s">
        <v>212</v>
      </c>
      <c r="C71" s="4">
        <v>70</v>
      </c>
      <c r="D71" s="5">
        <v>1</v>
      </c>
      <c r="E71" s="4">
        <f t="shared" ca="1" si="1"/>
        <v>53</v>
      </c>
      <c r="F71" s="4" t="s">
        <v>13</v>
      </c>
      <c r="G71" s="4">
        <v>17.350000000000001</v>
      </c>
      <c r="H71" s="4">
        <v>15.67</v>
      </c>
    </row>
    <row r="72" spans="1:8">
      <c r="A72" s="4">
        <v>17</v>
      </c>
      <c r="B72" s="4" t="s">
        <v>213</v>
      </c>
      <c r="C72" s="4">
        <v>71</v>
      </c>
      <c r="D72" s="5">
        <v>2</v>
      </c>
      <c r="E72" s="4">
        <f t="shared" ca="1" si="1"/>
        <v>35</v>
      </c>
      <c r="F72" s="4" t="s">
        <v>13</v>
      </c>
      <c r="G72" s="4">
        <v>3.5</v>
      </c>
      <c r="H72" s="4">
        <v>7.96</v>
      </c>
    </row>
    <row r="73" spans="1:8">
      <c r="A73" s="4">
        <v>18</v>
      </c>
      <c r="B73" s="4" t="s">
        <v>214</v>
      </c>
      <c r="C73" s="4">
        <v>72</v>
      </c>
      <c r="D73" s="5">
        <v>1</v>
      </c>
      <c r="E73" s="4">
        <f t="shared" ca="1" si="1"/>
        <v>43</v>
      </c>
      <c r="F73" s="4" t="s">
        <v>13</v>
      </c>
      <c r="G73" s="4">
        <v>21.79</v>
      </c>
      <c r="H73" s="4">
        <v>22.96</v>
      </c>
    </row>
    <row r="74" spans="1:8">
      <c r="A74" s="4">
        <v>19</v>
      </c>
      <c r="B74" s="4" t="s">
        <v>215</v>
      </c>
      <c r="C74" s="4">
        <v>73</v>
      </c>
      <c r="D74" s="5">
        <v>2</v>
      </c>
      <c r="E74" s="4">
        <f t="shared" ca="1" si="1"/>
        <v>29</v>
      </c>
      <c r="F74" s="4" t="s">
        <v>13</v>
      </c>
      <c r="G74" s="4">
        <v>27.89</v>
      </c>
      <c r="H74" s="4">
        <v>27.89</v>
      </c>
    </row>
    <row r="75" spans="1:8">
      <c r="A75" s="4">
        <v>20</v>
      </c>
      <c r="B75" s="4" t="s">
        <v>216</v>
      </c>
      <c r="C75" s="4">
        <v>74</v>
      </c>
      <c r="D75" s="5">
        <v>2</v>
      </c>
      <c r="E75" s="4">
        <f t="shared" ca="1" si="1"/>
        <v>26</v>
      </c>
      <c r="F75" s="4" t="s">
        <v>13</v>
      </c>
      <c r="G75" s="4">
        <v>2.29</v>
      </c>
      <c r="H75" s="4">
        <v>16.25</v>
      </c>
    </row>
    <row r="76" spans="1:8">
      <c r="A76" s="4">
        <v>21</v>
      </c>
      <c r="B76" s="4" t="s">
        <v>217</v>
      </c>
      <c r="C76" s="4">
        <v>75</v>
      </c>
      <c r="D76" s="5">
        <v>2</v>
      </c>
      <c r="E76" s="4">
        <f t="shared" ca="1" si="1"/>
        <v>24</v>
      </c>
      <c r="F76" s="4" t="s">
        <v>13</v>
      </c>
      <c r="G76" s="4">
        <v>29.05</v>
      </c>
      <c r="H76" s="4">
        <v>26.19</v>
      </c>
    </row>
    <row r="77" spans="1:8">
      <c r="A77" s="4">
        <v>22</v>
      </c>
      <c r="B77" s="4" t="s">
        <v>218</v>
      </c>
      <c r="C77" s="4">
        <v>76</v>
      </c>
      <c r="D77" s="5">
        <v>1</v>
      </c>
      <c r="E77" s="4">
        <f t="shared" ca="1" si="1"/>
        <v>52</v>
      </c>
      <c r="F77" s="4" t="s">
        <v>13</v>
      </c>
      <c r="G77" s="4">
        <v>31.71</v>
      </c>
      <c r="H77" s="4">
        <v>40.17</v>
      </c>
    </row>
    <row r="78" spans="1:8">
      <c r="A78" s="4">
        <v>23</v>
      </c>
      <c r="B78" s="4" t="s">
        <v>219</v>
      </c>
      <c r="C78" s="4">
        <v>77</v>
      </c>
      <c r="D78" s="5">
        <v>1</v>
      </c>
      <c r="E78" s="4">
        <f t="shared" ca="1" si="1"/>
        <v>47</v>
      </c>
      <c r="F78" s="4" t="s">
        <v>13</v>
      </c>
      <c r="G78" s="4">
        <v>20.43</v>
      </c>
      <c r="H78" s="4">
        <v>26.55</v>
      </c>
    </row>
    <row r="79" spans="1:8">
      <c r="A79" s="4">
        <v>24</v>
      </c>
      <c r="B79" s="4" t="s">
        <v>220</v>
      </c>
      <c r="C79" s="4">
        <v>78</v>
      </c>
      <c r="D79" s="5">
        <v>1</v>
      </c>
      <c r="E79" s="4">
        <f t="shared" ca="1" si="1"/>
        <v>32</v>
      </c>
      <c r="F79" s="4" t="s">
        <v>13</v>
      </c>
      <c r="G79" s="4">
        <v>21.31</v>
      </c>
      <c r="H79" s="4">
        <v>23.54</v>
      </c>
    </row>
    <row r="80" spans="1:8">
      <c r="A80" s="4">
        <v>25</v>
      </c>
      <c r="B80" s="4" t="s">
        <v>221</v>
      </c>
      <c r="C80" s="4">
        <v>79</v>
      </c>
      <c r="D80" s="5">
        <v>2</v>
      </c>
      <c r="E80" s="4">
        <f t="shared" ca="1" si="1"/>
        <v>26</v>
      </c>
      <c r="F80" s="4" t="s">
        <v>13</v>
      </c>
      <c r="G80" s="4">
        <v>20.55</v>
      </c>
      <c r="H80" s="4">
        <v>23.19</v>
      </c>
    </row>
    <row r="81" spans="1:8">
      <c r="A81" s="4">
        <v>26</v>
      </c>
      <c r="B81" s="4" t="s">
        <v>222</v>
      </c>
      <c r="C81" s="4">
        <v>80</v>
      </c>
      <c r="D81" s="5">
        <v>1</v>
      </c>
      <c r="E81" s="4">
        <f t="shared" ca="1" si="1"/>
        <v>35</v>
      </c>
      <c r="F81" s="4" t="s">
        <v>13</v>
      </c>
      <c r="G81" s="4">
        <v>23.85</v>
      </c>
      <c r="H81" s="4">
        <v>28.43</v>
      </c>
    </row>
    <row r="82" spans="1:8">
      <c r="A82" s="4">
        <v>27</v>
      </c>
      <c r="B82" s="4" t="s">
        <v>223</v>
      </c>
      <c r="C82" s="4">
        <v>81</v>
      </c>
      <c r="D82" s="5">
        <v>1</v>
      </c>
      <c r="E82" s="4">
        <f t="shared" ca="1" si="1"/>
        <v>34</v>
      </c>
      <c r="F82" s="4" t="s">
        <v>13</v>
      </c>
      <c r="G82" s="4">
        <v>27.59</v>
      </c>
      <c r="H82" s="4">
        <v>30.61</v>
      </c>
    </row>
    <row r="83" spans="1:8">
      <c r="A83" s="4">
        <v>1</v>
      </c>
      <c r="B83" s="4" t="s">
        <v>224</v>
      </c>
      <c r="C83" s="4">
        <v>82</v>
      </c>
      <c r="D83" s="5">
        <v>1</v>
      </c>
      <c r="E83" s="4">
        <f t="shared" ca="1" si="1"/>
        <v>30</v>
      </c>
      <c r="F83" s="4" t="s">
        <v>14</v>
      </c>
      <c r="G83" s="4">
        <v>16.07</v>
      </c>
      <c r="H83" s="4">
        <v>16.5</v>
      </c>
    </row>
    <row r="84" spans="1:8">
      <c r="A84" s="4">
        <v>2</v>
      </c>
      <c r="B84" s="4" t="s">
        <v>225</v>
      </c>
      <c r="C84" s="4">
        <v>83</v>
      </c>
      <c r="D84" s="5">
        <v>1</v>
      </c>
      <c r="E84" s="4">
        <f t="shared" ca="1" si="1"/>
        <v>57</v>
      </c>
      <c r="F84" s="4" t="s">
        <v>14</v>
      </c>
      <c r="G84" s="4">
        <v>39.340000000000003</v>
      </c>
      <c r="H84" s="4">
        <v>31.42</v>
      </c>
    </row>
    <row r="85" spans="1:8">
      <c r="A85" s="4">
        <v>3</v>
      </c>
      <c r="B85" s="4" t="s">
        <v>226</v>
      </c>
      <c r="C85" s="4">
        <v>84</v>
      </c>
      <c r="D85" s="5">
        <v>2</v>
      </c>
      <c r="E85" s="4">
        <f t="shared" ca="1" si="1"/>
        <v>42</v>
      </c>
      <c r="F85" s="4" t="s">
        <v>14</v>
      </c>
      <c r="G85" s="4">
        <v>16.600000000000001</v>
      </c>
      <c r="H85" s="4">
        <v>13.53</v>
      </c>
    </row>
    <row r="86" spans="1:8">
      <c r="A86" s="4">
        <v>4</v>
      </c>
      <c r="B86" s="4" t="s">
        <v>227</v>
      </c>
      <c r="C86" s="4">
        <v>85</v>
      </c>
      <c r="D86" s="5">
        <v>1</v>
      </c>
      <c r="E86" s="4">
        <f t="shared" ca="1" si="1"/>
        <v>42</v>
      </c>
      <c r="F86" s="4" t="s">
        <v>14</v>
      </c>
      <c r="G86" s="4">
        <v>16.04</v>
      </c>
      <c r="H86" s="4">
        <v>16.62</v>
      </c>
    </row>
    <row r="87" spans="1:8">
      <c r="A87" s="4">
        <v>5</v>
      </c>
      <c r="B87" s="4" t="s">
        <v>228</v>
      </c>
      <c r="C87" s="4">
        <v>86</v>
      </c>
      <c r="D87" s="5">
        <v>1</v>
      </c>
      <c r="E87" s="4">
        <f t="shared" ca="1" si="1"/>
        <v>65</v>
      </c>
      <c r="F87" s="4" t="s">
        <v>14</v>
      </c>
      <c r="G87" s="4">
        <v>26.16</v>
      </c>
      <c r="H87" s="4">
        <v>24.05</v>
      </c>
    </row>
    <row r="88" spans="1:8">
      <c r="A88" s="4">
        <v>6</v>
      </c>
      <c r="B88" s="4" t="s">
        <v>229</v>
      </c>
      <c r="C88" s="4">
        <v>87</v>
      </c>
      <c r="D88" s="5">
        <v>2</v>
      </c>
      <c r="E88" s="4">
        <f t="shared" ca="1" si="1"/>
        <v>20</v>
      </c>
      <c r="F88" s="4" t="s">
        <v>14</v>
      </c>
      <c r="G88" s="4">
        <v>7.9</v>
      </c>
      <c r="H88" s="4">
        <v>23.02</v>
      </c>
    </row>
    <row r="89" spans="1:8">
      <c r="A89" s="4">
        <v>7</v>
      </c>
      <c r="B89" s="4" t="s">
        <v>230</v>
      </c>
      <c r="C89" s="4">
        <v>88</v>
      </c>
      <c r="D89" s="5">
        <v>1</v>
      </c>
      <c r="E89" s="4">
        <f t="shared" ca="1" si="1"/>
        <v>55</v>
      </c>
      <c r="F89" s="4" t="s">
        <v>14</v>
      </c>
      <c r="G89" s="4">
        <v>22.37</v>
      </c>
      <c r="H89" s="4">
        <v>19.329999999999998</v>
      </c>
    </row>
    <row r="90" spans="1:8">
      <c r="A90" s="4">
        <v>8</v>
      </c>
      <c r="B90" s="4" t="s">
        <v>231</v>
      </c>
      <c r="C90" s="4">
        <v>89</v>
      </c>
      <c r="D90" s="5">
        <v>2</v>
      </c>
      <c r="E90" s="4">
        <f t="shared" ca="1" si="1"/>
        <v>23</v>
      </c>
      <c r="F90" s="4" t="s">
        <v>14</v>
      </c>
      <c r="G90" s="4">
        <v>34.28</v>
      </c>
      <c r="H90" s="4">
        <v>33.1</v>
      </c>
    </row>
    <row r="91" spans="1:8">
      <c r="A91" s="4">
        <v>9</v>
      </c>
      <c r="B91" s="4" t="s">
        <v>232</v>
      </c>
      <c r="C91" s="4">
        <v>90</v>
      </c>
      <c r="D91" s="5">
        <v>2</v>
      </c>
      <c r="E91" s="4">
        <f t="shared" ca="1" si="1"/>
        <v>51</v>
      </c>
      <c r="F91" s="4" t="s">
        <v>14</v>
      </c>
      <c r="G91" s="4">
        <v>30.33</v>
      </c>
      <c r="H91" s="4">
        <v>28.92</v>
      </c>
    </row>
    <row r="92" spans="1:8">
      <c r="A92" s="4">
        <v>10</v>
      </c>
      <c r="B92" s="4" t="s">
        <v>233</v>
      </c>
      <c r="C92" s="4">
        <v>91</v>
      </c>
      <c r="D92" s="5">
        <v>2</v>
      </c>
      <c r="E92" s="4">
        <f t="shared" ca="1" si="1"/>
        <v>37</v>
      </c>
      <c r="F92" s="4" t="s">
        <v>14</v>
      </c>
      <c r="G92" s="4">
        <v>17.41</v>
      </c>
      <c r="H92" s="4">
        <v>23.55</v>
      </c>
    </row>
    <row r="93" spans="1:8">
      <c r="A93" s="4">
        <v>11</v>
      </c>
      <c r="B93" s="4" t="s">
        <v>234</v>
      </c>
      <c r="C93" s="4">
        <v>92</v>
      </c>
      <c r="D93" s="5">
        <v>1</v>
      </c>
      <c r="E93" s="4">
        <f t="shared" ca="1" si="1"/>
        <v>45</v>
      </c>
      <c r="F93" s="4" t="s">
        <v>14</v>
      </c>
      <c r="G93" s="4">
        <v>3.76</v>
      </c>
      <c r="H93" s="4">
        <v>10.3</v>
      </c>
    </row>
    <row r="94" spans="1:8">
      <c r="A94" s="4">
        <v>12</v>
      </c>
      <c r="B94" s="4" t="s">
        <v>235</v>
      </c>
      <c r="C94" s="4">
        <v>93</v>
      </c>
      <c r="D94" s="5">
        <v>2</v>
      </c>
      <c r="E94" s="4">
        <f t="shared" ca="1" si="1"/>
        <v>49</v>
      </c>
      <c r="F94" s="4" t="s">
        <v>14</v>
      </c>
      <c r="G94" s="4">
        <v>19.98</v>
      </c>
      <c r="H94" s="4">
        <v>25.07</v>
      </c>
    </row>
    <row r="95" spans="1:8">
      <c r="A95" s="4">
        <v>13</v>
      </c>
      <c r="B95" s="4" t="s">
        <v>236</v>
      </c>
      <c r="C95" s="4">
        <v>94</v>
      </c>
      <c r="D95" s="5">
        <v>2</v>
      </c>
      <c r="E95" s="4">
        <f t="shared" ca="1" si="1"/>
        <v>32</v>
      </c>
      <c r="F95" s="4" t="s">
        <v>14</v>
      </c>
      <c r="G95" s="4">
        <v>2.56</v>
      </c>
      <c r="H95" s="4">
        <v>8.67</v>
      </c>
    </row>
    <row r="96" spans="1:8">
      <c r="A96" s="4">
        <v>14</v>
      </c>
      <c r="B96" s="4" t="s">
        <v>237</v>
      </c>
      <c r="C96" s="4">
        <v>95</v>
      </c>
      <c r="D96" s="5">
        <v>2</v>
      </c>
      <c r="E96" s="4">
        <f t="shared" ca="1" si="1"/>
        <v>48</v>
      </c>
      <c r="F96" s="4" t="s">
        <v>14</v>
      </c>
      <c r="G96" s="4">
        <v>4.01</v>
      </c>
      <c r="H96" s="4">
        <v>19.98</v>
      </c>
    </row>
    <row r="97" spans="1:8">
      <c r="A97" s="4">
        <v>15</v>
      </c>
      <c r="B97" s="4" t="s">
        <v>238</v>
      </c>
      <c r="C97" s="4">
        <v>96</v>
      </c>
      <c r="D97" s="5">
        <v>1</v>
      </c>
      <c r="E97" s="4">
        <f t="shared" ca="1" si="1"/>
        <v>58</v>
      </c>
      <c r="F97" s="4" t="s">
        <v>14</v>
      </c>
      <c r="G97" s="4">
        <v>12.84</v>
      </c>
      <c r="H97" s="4">
        <v>15.68</v>
      </c>
    </row>
    <row r="98" spans="1:8">
      <c r="A98" s="4">
        <v>16</v>
      </c>
      <c r="B98" s="4" t="s">
        <v>239</v>
      </c>
      <c r="C98" s="4">
        <v>97</v>
      </c>
      <c r="D98" s="5">
        <v>2</v>
      </c>
      <c r="E98" s="4">
        <f t="shared" ca="1" si="1"/>
        <v>25</v>
      </c>
      <c r="F98" s="4" t="s">
        <v>14</v>
      </c>
      <c r="G98" s="4">
        <v>6.84</v>
      </c>
      <c r="H98" s="4">
        <v>4.4800000000000004</v>
      </c>
    </row>
    <row r="99" spans="1:8">
      <c r="A99" s="4">
        <v>17</v>
      </c>
      <c r="B99" s="4" t="s">
        <v>240</v>
      </c>
      <c r="C99" s="4">
        <v>98</v>
      </c>
      <c r="D99" s="5">
        <v>1</v>
      </c>
      <c r="E99" s="4">
        <f t="shared" ca="1" si="1"/>
        <v>54</v>
      </c>
      <c r="F99" s="4" t="s">
        <v>14</v>
      </c>
      <c r="G99" s="4">
        <v>33.409999999999997</v>
      </c>
      <c r="H99" s="4">
        <v>33.17</v>
      </c>
    </row>
    <row r="100" spans="1:8">
      <c r="A100" s="4">
        <v>18</v>
      </c>
      <c r="B100" s="4" t="s">
        <v>241</v>
      </c>
      <c r="C100" s="4">
        <v>99</v>
      </c>
      <c r="D100" s="5">
        <v>2</v>
      </c>
      <c r="E100" s="4">
        <f t="shared" ca="1" si="1"/>
        <v>69</v>
      </c>
      <c r="F100" s="4" t="s">
        <v>14</v>
      </c>
      <c r="G100" s="4">
        <v>13.62</v>
      </c>
      <c r="H100" s="4">
        <v>27.64</v>
      </c>
    </row>
    <row r="101" spans="1:8">
      <c r="A101" s="4">
        <v>19</v>
      </c>
      <c r="B101" s="4" t="s">
        <v>242</v>
      </c>
      <c r="C101" s="4">
        <v>100</v>
      </c>
      <c r="D101" s="5">
        <v>1</v>
      </c>
      <c r="E101" s="4">
        <f t="shared" ca="1" si="1"/>
        <v>70</v>
      </c>
      <c r="F101" s="4" t="s">
        <v>14</v>
      </c>
      <c r="G101" s="4">
        <v>18.690000000000001</v>
      </c>
      <c r="H101" s="4">
        <v>15.7</v>
      </c>
    </row>
    <row r="102" spans="1:8">
      <c r="A102" s="4">
        <v>20</v>
      </c>
      <c r="B102" s="4" t="s">
        <v>243</v>
      </c>
      <c r="C102" s="4">
        <v>101</v>
      </c>
      <c r="D102" s="5">
        <v>1</v>
      </c>
      <c r="E102" s="4">
        <f t="shared" ca="1" si="1"/>
        <v>66</v>
      </c>
      <c r="F102" s="4" t="s">
        <v>14</v>
      </c>
      <c r="G102" s="4">
        <v>2.5299999999999998</v>
      </c>
      <c r="H102" s="4">
        <v>11.46</v>
      </c>
    </row>
    <row r="103" spans="1:8">
      <c r="A103" s="4">
        <v>21</v>
      </c>
      <c r="B103" s="4" t="s">
        <v>244</v>
      </c>
      <c r="C103" s="4">
        <v>102</v>
      </c>
      <c r="D103" s="5">
        <v>2</v>
      </c>
      <c r="E103" s="4">
        <f t="shared" ca="1" si="1"/>
        <v>40</v>
      </c>
      <c r="F103" s="4" t="s">
        <v>14</v>
      </c>
      <c r="G103" s="4">
        <v>9.06</v>
      </c>
      <c r="H103" s="4">
        <v>16.61</v>
      </c>
    </row>
    <row r="104" spans="1:8">
      <c r="A104" s="4">
        <v>22</v>
      </c>
      <c r="B104" s="4" t="s">
        <v>245</v>
      </c>
      <c r="C104" s="4">
        <v>103</v>
      </c>
      <c r="D104" s="5">
        <v>2</v>
      </c>
      <c r="E104" s="4">
        <f t="shared" ca="1" si="1"/>
        <v>62</v>
      </c>
      <c r="F104" s="4" t="s">
        <v>14</v>
      </c>
      <c r="G104" s="4">
        <v>11.72</v>
      </c>
      <c r="H104" s="4">
        <v>22.13</v>
      </c>
    </row>
    <row r="105" spans="1:8">
      <c r="A105" s="4">
        <v>23</v>
      </c>
      <c r="B105" s="4" t="s">
        <v>246</v>
      </c>
      <c r="C105" s="4">
        <v>104</v>
      </c>
      <c r="D105" s="5">
        <v>1</v>
      </c>
      <c r="E105" s="4">
        <f t="shared" ca="1" si="1"/>
        <v>38</v>
      </c>
      <c r="F105" s="4" t="s">
        <v>14</v>
      </c>
      <c r="G105" s="4">
        <v>23.52</v>
      </c>
      <c r="H105" s="4">
        <v>23.95</v>
      </c>
    </row>
    <row r="106" spans="1:8">
      <c r="A106" s="4">
        <v>24</v>
      </c>
      <c r="B106" s="4" t="s">
        <v>247</v>
      </c>
      <c r="C106" s="4">
        <v>105</v>
      </c>
      <c r="D106" s="5">
        <v>1</v>
      </c>
      <c r="E106" s="4">
        <f t="shared" ca="1" si="1"/>
        <v>24</v>
      </c>
      <c r="F106" s="4" t="s">
        <v>14</v>
      </c>
      <c r="G106" s="4">
        <v>12.92</v>
      </c>
      <c r="H106" s="4">
        <v>19.28</v>
      </c>
    </row>
    <row r="107" spans="1:8">
      <c r="A107" s="4">
        <v>25</v>
      </c>
      <c r="B107" s="4" t="s">
        <v>248</v>
      </c>
      <c r="C107" s="4">
        <v>106</v>
      </c>
      <c r="D107" s="5">
        <v>1</v>
      </c>
      <c r="E107" s="4">
        <f t="shared" ca="1" si="1"/>
        <v>70</v>
      </c>
      <c r="F107" s="4" t="s">
        <v>14</v>
      </c>
      <c r="G107" s="4">
        <v>26.97</v>
      </c>
      <c r="H107" s="4">
        <v>27.47</v>
      </c>
    </row>
    <row r="108" spans="1:8">
      <c r="A108" s="4">
        <v>26</v>
      </c>
      <c r="B108" s="4" t="s">
        <v>249</v>
      </c>
      <c r="C108" s="4">
        <v>107</v>
      </c>
      <c r="D108" s="5">
        <v>1</v>
      </c>
      <c r="E108" s="4">
        <f t="shared" ca="1" si="1"/>
        <v>35</v>
      </c>
      <c r="F108" s="4" t="s">
        <v>14</v>
      </c>
      <c r="G108" s="4">
        <v>20.85</v>
      </c>
      <c r="H108" s="4">
        <v>11.31</v>
      </c>
    </row>
    <row r="109" spans="1:8">
      <c r="A109" s="4">
        <v>27</v>
      </c>
      <c r="B109" s="4" t="s">
        <v>250</v>
      </c>
      <c r="C109" s="4">
        <v>108</v>
      </c>
      <c r="D109" s="5">
        <v>2</v>
      </c>
      <c r="E109" s="4">
        <f t="shared" ca="1" si="1"/>
        <v>21</v>
      </c>
      <c r="F109" s="4" t="s">
        <v>14</v>
      </c>
      <c r="G109" s="4">
        <v>18.43</v>
      </c>
      <c r="H109" s="4">
        <v>8.26</v>
      </c>
    </row>
    <row r="110" spans="1:8">
      <c r="A110" s="4">
        <v>1</v>
      </c>
      <c r="B110" s="4" t="s">
        <v>251</v>
      </c>
      <c r="C110" s="4">
        <v>109</v>
      </c>
      <c r="D110" s="5">
        <v>1</v>
      </c>
      <c r="E110" s="4">
        <f t="shared" ca="1" si="1"/>
        <v>65</v>
      </c>
      <c r="F110" s="4" t="s">
        <v>15</v>
      </c>
      <c r="G110" s="4">
        <v>16.559999999999999</v>
      </c>
      <c r="H110" s="4">
        <v>16.600000000000001</v>
      </c>
    </row>
    <row r="111" spans="1:8">
      <c r="A111" s="4">
        <v>2</v>
      </c>
      <c r="B111" s="4" t="s">
        <v>252</v>
      </c>
      <c r="C111" s="4">
        <v>110</v>
      </c>
      <c r="D111" s="5">
        <v>1</v>
      </c>
      <c r="E111" s="4">
        <f t="shared" ca="1" si="1"/>
        <v>66</v>
      </c>
      <c r="F111" s="4" t="s">
        <v>15</v>
      </c>
      <c r="G111" s="4">
        <v>6.29</v>
      </c>
      <c r="H111" s="4">
        <v>2.95</v>
      </c>
    </row>
    <row r="112" spans="1:8">
      <c r="A112" s="4">
        <v>3</v>
      </c>
      <c r="B112" s="4" t="s">
        <v>253</v>
      </c>
      <c r="C112" s="4">
        <v>111</v>
      </c>
      <c r="D112" s="5">
        <v>1</v>
      </c>
      <c r="E112" s="4">
        <f t="shared" ca="1" si="1"/>
        <v>46</v>
      </c>
      <c r="F112" s="4" t="s">
        <v>15</v>
      </c>
      <c r="G112" s="4">
        <v>4.88</v>
      </c>
      <c r="H112" s="4">
        <v>7.49</v>
      </c>
    </row>
    <row r="113" spans="1:8">
      <c r="A113" s="4">
        <v>4</v>
      </c>
      <c r="B113" s="4" t="s">
        <v>254</v>
      </c>
      <c r="C113" s="4">
        <v>112</v>
      </c>
      <c r="D113" s="5">
        <v>1</v>
      </c>
      <c r="E113" s="4">
        <f t="shared" ca="1" si="1"/>
        <v>22</v>
      </c>
      <c r="F113" s="4" t="s">
        <v>15</v>
      </c>
      <c r="G113" s="4">
        <v>20.2</v>
      </c>
      <c r="H113" s="4">
        <v>22.83</v>
      </c>
    </row>
    <row r="114" spans="1:8">
      <c r="A114" s="4">
        <v>5</v>
      </c>
      <c r="B114" s="4" t="s">
        <v>255</v>
      </c>
      <c r="C114" s="4">
        <v>113</v>
      </c>
      <c r="D114" s="5">
        <v>2</v>
      </c>
      <c r="E114" s="4">
        <f t="shared" ca="1" si="1"/>
        <v>50</v>
      </c>
      <c r="F114" s="4" t="s">
        <v>15</v>
      </c>
      <c r="G114" s="4">
        <v>23.46</v>
      </c>
      <c r="H114" s="4">
        <v>26.15</v>
      </c>
    </row>
    <row r="115" spans="1:8">
      <c r="A115" s="4">
        <v>6</v>
      </c>
      <c r="B115" s="4" t="s">
        <v>256</v>
      </c>
      <c r="C115" s="4">
        <v>114</v>
      </c>
      <c r="D115" s="5">
        <v>1</v>
      </c>
      <c r="E115" s="4">
        <f t="shared" ca="1" si="1"/>
        <v>47</v>
      </c>
      <c r="F115" s="4" t="s">
        <v>15</v>
      </c>
      <c r="G115" s="4">
        <v>6.29</v>
      </c>
      <c r="H115" s="4">
        <v>2.95</v>
      </c>
    </row>
    <row r="116" spans="1:8">
      <c r="A116" s="4">
        <v>7</v>
      </c>
      <c r="B116" s="4" t="s">
        <v>257</v>
      </c>
      <c r="C116" s="4">
        <v>115</v>
      </c>
      <c r="D116" s="5">
        <v>1</v>
      </c>
      <c r="E116" s="4">
        <f t="shared" ca="1" si="1"/>
        <v>37</v>
      </c>
      <c r="F116" s="4" t="s">
        <v>15</v>
      </c>
      <c r="G116" s="4">
        <v>5.25</v>
      </c>
      <c r="H116" s="4">
        <v>6.54</v>
      </c>
    </row>
    <row r="117" spans="1:8">
      <c r="A117" s="4">
        <v>8</v>
      </c>
      <c r="B117" s="4" t="s">
        <v>258</v>
      </c>
      <c r="C117" s="4">
        <v>116</v>
      </c>
      <c r="D117" s="5">
        <v>1</v>
      </c>
      <c r="E117" s="4">
        <f t="shared" ca="1" si="1"/>
        <v>60</v>
      </c>
      <c r="F117" s="4" t="s">
        <v>15</v>
      </c>
      <c r="G117" s="4">
        <v>9.7100000000000009</v>
      </c>
      <c r="H117" s="4">
        <v>17.62</v>
      </c>
    </row>
    <row r="118" spans="1:8">
      <c r="A118" s="4">
        <v>9</v>
      </c>
      <c r="B118" s="4" t="s">
        <v>259</v>
      </c>
      <c r="C118" s="4">
        <v>117</v>
      </c>
      <c r="D118" s="5">
        <v>2</v>
      </c>
      <c r="E118" s="4">
        <f t="shared" ca="1" si="1"/>
        <v>29</v>
      </c>
      <c r="F118" s="4" t="s">
        <v>15</v>
      </c>
      <c r="G118" s="4" t="s">
        <v>330</v>
      </c>
      <c r="H118" s="4">
        <v>16.920000000000002</v>
      </c>
    </row>
    <row r="119" spans="1:8">
      <c r="A119" s="4">
        <v>10</v>
      </c>
      <c r="B119" s="4" t="s">
        <v>260</v>
      </c>
      <c r="C119" s="4">
        <v>118</v>
      </c>
      <c r="D119" s="5">
        <v>1</v>
      </c>
      <c r="E119" s="4">
        <f t="shared" ca="1" si="1"/>
        <v>52</v>
      </c>
      <c r="F119" s="4" t="s">
        <v>15</v>
      </c>
      <c r="G119" s="4">
        <v>19.87</v>
      </c>
      <c r="H119" s="4">
        <v>15.04</v>
      </c>
    </row>
    <row r="120" spans="1:8">
      <c r="A120" s="4">
        <v>11</v>
      </c>
      <c r="B120" s="4" t="s">
        <v>261</v>
      </c>
      <c r="C120" s="4">
        <v>119</v>
      </c>
      <c r="D120" s="5">
        <v>1</v>
      </c>
      <c r="E120" s="4">
        <f t="shared" ca="1" si="1"/>
        <v>57</v>
      </c>
      <c r="F120" s="4" t="s">
        <v>15</v>
      </c>
      <c r="G120" s="4">
        <v>18.86</v>
      </c>
      <c r="H120" s="4">
        <v>17.68</v>
      </c>
    </row>
    <row r="121" spans="1:8">
      <c r="A121" s="4">
        <v>12</v>
      </c>
      <c r="B121" s="4" t="s">
        <v>262</v>
      </c>
      <c r="C121" s="4">
        <v>120</v>
      </c>
      <c r="D121" s="5">
        <v>2</v>
      </c>
      <c r="E121" s="4">
        <f t="shared" ca="1" si="1"/>
        <v>25</v>
      </c>
      <c r="F121" s="4" t="s">
        <v>15</v>
      </c>
      <c r="G121" s="4">
        <v>23.98</v>
      </c>
      <c r="H121" s="4">
        <v>22.61</v>
      </c>
    </row>
    <row r="122" spans="1:8">
      <c r="A122" s="4">
        <v>13</v>
      </c>
      <c r="B122" s="4" t="s">
        <v>263</v>
      </c>
      <c r="C122" s="4">
        <v>121</v>
      </c>
      <c r="D122" s="5">
        <v>1</v>
      </c>
      <c r="E122" s="4">
        <f t="shared" ca="1" si="1"/>
        <v>62</v>
      </c>
      <c r="F122" s="4" t="s">
        <v>15</v>
      </c>
      <c r="G122" s="4">
        <v>24.65</v>
      </c>
      <c r="H122" s="4">
        <v>25.49</v>
      </c>
    </row>
    <row r="123" spans="1:8">
      <c r="A123" s="4">
        <v>14</v>
      </c>
      <c r="B123" s="4" t="s">
        <v>264</v>
      </c>
      <c r="C123" s="4">
        <v>122</v>
      </c>
      <c r="D123" s="5">
        <v>1</v>
      </c>
      <c r="E123" s="4">
        <f t="shared" ca="1" si="1"/>
        <v>57</v>
      </c>
      <c r="F123" s="4" t="s">
        <v>15</v>
      </c>
      <c r="G123" s="4">
        <v>18.95</v>
      </c>
      <c r="H123" s="4">
        <v>13.39</v>
      </c>
    </row>
    <row r="124" spans="1:8">
      <c r="A124" s="4">
        <v>15</v>
      </c>
      <c r="B124" s="4" t="s">
        <v>265</v>
      </c>
      <c r="C124" s="4">
        <v>123</v>
      </c>
      <c r="D124" s="5">
        <v>1</v>
      </c>
      <c r="E124" s="4">
        <f t="shared" ca="1" si="1"/>
        <v>53</v>
      </c>
      <c r="F124" s="4" t="s">
        <v>15</v>
      </c>
      <c r="G124" s="4">
        <v>27.18</v>
      </c>
      <c r="H124" s="4">
        <v>33.1</v>
      </c>
    </row>
    <row r="125" spans="1:8">
      <c r="A125" s="4">
        <v>16</v>
      </c>
      <c r="B125" s="4" t="s">
        <v>266</v>
      </c>
      <c r="C125" s="4">
        <v>124</v>
      </c>
      <c r="D125" s="5">
        <v>1</v>
      </c>
      <c r="E125" s="4">
        <f t="shared" ca="1" si="1"/>
        <v>62</v>
      </c>
      <c r="F125" s="4" t="s">
        <v>15</v>
      </c>
      <c r="G125" s="4">
        <v>29.21</v>
      </c>
      <c r="H125" s="4">
        <v>21.67</v>
      </c>
    </row>
    <row r="126" spans="1:8">
      <c r="A126" s="4">
        <v>17</v>
      </c>
      <c r="B126" s="4" t="s">
        <v>267</v>
      </c>
      <c r="C126" s="4">
        <v>125</v>
      </c>
      <c r="D126" s="5">
        <v>2</v>
      </c>
      <c r="E126" s="4">
        <f t="shared" ca="1" si="1"/>
        <v>32</v>
      </c>
      <c r="F126" s="4" t="s">
        <v>15</v>
      </c>
      <c r="G126" s="4">
        <v>22.08</v>
      </c>
      <c r="H126" s="4">
        <v>29.94</v>
      </c>
    </row>
    <row r="127" spans="1:8">
      <c r="A127" s="4">
        <v>18</v>
      </c>
      <c r="B127" s="4" t="s">
        <v>268</v>
      </c>
      <c r="C127" s="4">
        <v>126</v>
      </c>
      <c r="D127" s="5">
        <v>2</v>
      </c>
      <c r="E127" s="4">
        <f t="shared" ca="1" si="1"/>
        <v>32</v>
      </c>
      <c r="F127" s="4" t="s">
        <v>15</v>
      </c>
      <c r="G127" s="4">
        <v>34.479999999999997</v>
      </c>
      <c r="H127" s="4">
        <v>27.89</v>
      </c>
    </row>
    <row r="128" spans="1:8">
      <c r="A128" s="4">
        <v>19</v>
      </c>
      <c r="B128" s="4" t="s">
        <v>269</v>
      </c>
      <c r="C128" s="4">
        <v>127</v>
      </c>
      <c r="D128" s="5">
        <v>2</v>
      </c>
      <c r="E128" s="4">
        <f t="shared" ca="1" si="1"/>
        <v>37</v>
      </c>
      <c r="F128" s="4" t="s">
        <v>15</v>
      </c>
      <c r="G128" s="4">
        <v>32.549999999999997</v>
      </c>
      <c r="H128" s="4">
        <v>31.99</v>
      </c>
    </row>
    <row r="129" spans="1:8">
      <c r="A129" s="4">
        <v>20</v>
      </c>
      <c r="B129" s="4" t="s">
        <v>270</v>
      </c>
      <c r="C129" s="4">
        <v>128</v>
      </c>
      <c r="D129" s="5">
        <v>1</v>
      </c>
      <c r="E129" s="4">
        <f t="shared" ca="1" si="1"/>
        <v>32</v>
      </c>
      <c r="F129" s="4" t="s">
        <v>15</v>
      </c>
      <c r="G129" s="4">
        <v>31.86</v>
      </c>
      <c r="H129" s="4">
        <v>32.96</v>
      </c>
    </row>
    <row r="130" spans="1:8">
      <c r="A130" s="4">
        <v>21</v>
      </c>
      <c r="B130" s="4" t="s">
        <v>271</v>
      </c>
      <c r="C130" s="4">
        <v>129</v>
      </c>
      <c r="D130" s="5">
        <v>2</v>
      </c>
      <c r="E130" s="4">
        <f t="shared" ca="1" si="1"/>
        <v>38</v>
      </c>
      <c r="F130" s="4" t="s">
        <v>15</v>
      </c>
      <c r="G130" s="4">
        <v>19.920000000000002</v>
      </c>
      <c r="H130" s="4">
        <v>8.9</v>
      </c>
    </row>
    <row r="131" spans="1:8">
      <c r="A131" s="4">
        <v>22</v>
      </c>
      <c r="B131" s="4" t="s">
        <v>272</v>
      </c>
      <c r="C131" s="4">
        <v>130</v>
      </c>
      <c r="D131" s="5">
        <v>1</v>
      </c>
      <c r="E131" s="4">
        <f t="shared" ref="E131:E136" ca="1" si="2">RANDBETWEEN(18,70)</f>
        <v>50</v>
      </c>
      <c r="F131" s="4" t="s">
        <v>15</v>
      </c>
      <c r="G131" s="4">
        <v>13.29</v>
      </c>
      <c r="H131" s="4">
        <v>12.52</v>
      </c>
    </row>
    <row r="132" spans="1:8">
      <c r="A132" s="4">
        <v>23</v>
      </c>
      <c r="B132" s="4" t="s">
        <v>273</v>
      </c>
      <c r="C132" s="4">
        <v>131</v>
      </c>
      <c r="D132" s="5">
        <v>2</v>
      </c>
      <c r="E132" s="4">
        <f t="shared" ca="1" si="2"/>
        <v>58</v>
      </c>
      <c r="F132" s="4" t="s">
        <v>15</v>
      </c>
      <c r="G132" s="4">
        <v>24.17</v>
      </c>
      <c r="H132" s="4">
        <v>32.85</v>
      </c>
    </row>
    <row r="133" spans="1:8">
      <c r="A133" s="4">
        <v>24</v>
      </c>
      <c r="B133" s="4" t="s">
        <v>274</v>
      </c>
      <c r="C133" s="4">
        <v>132</v>
      </c>
      <c r="D133" s="5">
        <v>2</v>
      </c>
      <c r="E133" s="4">
        <f t="shared" ca="1" si="2"/>
        <v>32</v>
      </c>
      <c r="F133" s="4" t="s">
        <v>15</v>
      </c>
      <c r="G133" s="4">
        <v>25.59</v>
      </c>
      <c r="H133" s="4">
        <v>28.43</v>
      </c>
    </row>
    <row r="134" spans="1:8">
      <c r="A134" s="4">
        <v>25</v>
      </c>
      <c r="B134" s="4" t="s">
        <v>275</v>
      </c>
      <c r="C134" s="4">
        <v>133</v>
      </c>
      <c r="D134" s="5">
        <v>2</v>
      </c>
      <c r="E134" s="4">
        <f t="shared" ca="1" si="2"/>
        <v>34</v>
      </c>
      <c r="F134" s="4" t="s">
        <v>15</v>
      </c>
      <c r="G134" s="4">
        <v>23.83</v>
      </c>
      <c r="H134" s="4">
        <v>30.12</v>
      </c>
    </row>
    <row r="135" spans="1:8">
      <c r="A135" s="4">
        <v>26</v>
      </c>
      <c r="B135" s="4" t="s">
        <v>276</v>
      </c>
      <c r="C135" s="4">
        <v>134</v>
      </c>
      <c r="D135" s="5">
        <v>1</v>
      </c>
      <c r="E135" s="4">
        <f t="shared" ca="1" si="2"/>
        <v>54</v>
      </c>
      <c r="F135" s="4" t="s">
        <v>15</v>
      </c>
      <c r="G135" s="4">
        <v>34.58</v>
      </c>
      <c r="H135" s="4">
        <v>26.43</v>
      </c>
    </row>
    <row r="136" spans="1:8">
      <c r="A136" s="4">
        <v>27</v>
      </c>
      <c r="B136" s="4" t="s">
        <v>277</v>
      </c>
      <c r="C136" s="4">
        <v>135</v>
      </c>
      <c r="D136" s="5">
        <v>1</v>
      </c>
      <c r="E136" s="4">
        <f t="shared" ca="1" si="2"/>
        <v>68</v>
      </c>
      <c r="F136" s="4" t="s">
        <v>15</v>
      </c>
      <c r="G136" s="4">
        <v>17.920000000000002</v>
      </c>
      <c r="H136" s="4">
        <v>26.48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11044-6B1F-43E6-9DEA-5463195EF067}">
  <dimension ref="A1:F12"/>
  <sheetViews>
    <sheetView workbookViewId="0">
      <selection activeCell="C1" sqref="C1:D1"/>
    </sheetView>
  </sheetViews>
  <sheetFormatPr defaultColWidth="11.42578125" defaultRowHeight="15"/>
  <cols>
    <col min="1" max="16384" width="11.42578125" style="10"/>
  </cols>
  <sheetData>
    <row r="1" spans="1:6">
      <c r="C1" s="10" t="s">
        <v>331</v>
      </c>
      <c r="D1" s="10" t="s">
        <v>332</v>
      </c>
      <c r="E1" s="131" t="s">
        <v>333</v>
      </c>
      <c r="F1" s="131"/>
    </row>
    <row r="2" spans="1:6">
      <c r="A2" s="10" t="s">
        <v>334</v>
      </c>
      <c r="B2" s="10" t="s">
        <v>52</v>
      </c>
      <c r="C2" s="10" t="s">
        <v>335</v>
      </c>
      <c r="D2" s="10" t="s">
        <v>336</v>
      </c>
      <c r="E2" s="10" t="s">
        <v>331</v>
      </c>
      <c r="F2" s="10" t="s">
        <v>332</v>
      </c>
    </row>
    <row r="3" spans="1:6">
      <c r="A3" s="10">
        <v>1</v>
      </c>
      <c r="B3" s="10" t="s">
        <v>177</v>
      </c>
      <c r="C3" s="10">
        <v>21.36</v>
      </c>
      <c r="D3" s="10">
        <v>14.83</v>
      </c>
      <c r="E3" s="4">
        <v>16.96</v>
      </c>
      <c r="F3" s="4">
        <v>37.770000000000003</v>
      </c>
    </row>
    <row r="4" spans="1:6">
      <c r="A4" s="10">
        <v>2</v>
      </c>
      <c r="B4" s="10" t="s">
        <v>168</v>
      </c>
      <c r="C4" s="10">
        <v>38.65</v>
      </c>
      <c r="D4" s="10">
        <v>38.08</v>
      </c>
      <c r="E4" s="4">
        <v>39.03</v>
      </c>
      <c r="F4" s="4">
        <v>33.4</v>
      </c>
    </row>
    <row r="5" spans="1:6">
      <c r="A5" s="10">
        <v>3</v>
      </c>
      <c r="B5" s="10" t="s">
        <v>190</v>
      </c>
      <c r="C5" s="10">
        <v>25.45</v>
      </c>
      <c r="D5" s="10">
        <v>30.46</v>
      </c>
      <c r="E5" s="4">
        <v>30.78</v>
      </c>
      <c r="F5" s="4">
        <v>28.89</v>
      </c>
    </row>
    <row r="6" spans="1:6">
      <c r="A6" s="10">
        <v>4</v>
      </c>
      <c r="B6" s="10" t="s">
        <v>337</v>
      </c>
      <c r="C6" s="10">
        <v>21.79</v>
      </c>
      <c r="D6" s="10">
        <v>19.91</v>
      </c>
      <c r="E6" s="4">
        <v>22.16</v>
      </c>
      <c r="F6" s="4">
        <v>24.89</v>
      </c>
    </row>
    <row r="7" spans="1:6">
      <c r="A7" s="10">
        <v>5</v>
      </c>
      <c r="B7" s="10" t="s">
        <v>338</v>
      </c>
      <c r="C7" s="10">
        <v>5.67</v>
      </c>
      <c r="D7" s="10">
        <v>2.77</v>
      </c>
      <c r="E7" s="4">
        <v>16.600000000000001</v>
      </c>
      <c r="F7" s="4">
        <v>22.83</v>
      </c>
    </row>
    <row r="8" spans="1:6">
      <c r="A8" s="10">
        <v>6</v>
      </c>
      <c r="B8" s="10" t="s">
        <v>339</v>
      </c>
      <c r="C8" s="10">
        <v>33.43</v>
      </c>
      <c r="D8" s="10">
        <v>29.3</v>
      </c>
      <c r="E8" s="4">
        <v>33.409999999999997</v>
      </c>
      <c r="F8" s="4">
        <v>33.17</v>
      </c>
    </row>
    <row r="9" spans="1:6">
      <c r="A9" s="10">
        <v>7</v>
      </c>
      <c r="B9" s="10" t="s">
        <v>340</v>
      </c>
      <c r="C9" s="10">
        <v>13.74</v>
      </c>
      <c r="D9" s="10">
        <v>12.63</v>
      </c>
      <c r="E9" s="4">
        <v>16.600000000000001</v>
      </c>
      <c r="F9" s="4">
        <v>13.53</v>
      </c>
    </row>
    <row r="10" spans="1:6">
      <c r="A10" s="10">
        <v>8</v>
      </c>
      <c r="B10" s="10" t="s">
        <v>341</v>
      </c>
      <c r="C10" s="10">
        <v>1.59</v>
      </c>
      <c r="D10" s="10">
        <v>14.58</v>
      </c>
      <c r="E10" s="4">
        <v>2.5299999999999998</v>
      </c>
      <c r="F10" s="4">
        <v>11.46</v>
      </c>
    </row>
    <row r="11" spans="1:6">
      <c r="A11" s="10">
        <v>9</v>
      </c>
      <c r="B11" s="10" t="s">
        <v>342</v>
      </c>
      <c r="C11" s="10">
        <v>8.67</v>
      </c>
      <c r="D11" s="10">
        <v>23.19</v>
      </c>
      <c r="E11" s="4">
        <v>19.87</v>
      </c>
      <c r="F11" s="4">
        <v>15.04</v>
      </c>
    </row>
    <row r="12" spans="1:6">
      <c r="A12" s="10">
        <v>10</v>
      </c>
      <c r="B12" s="10" t="s">
        <v>343</v>
      </c>
      <c r="C12" s="10">
        <v>19.649999999999999</v>
      </c>
      <c r="D12" s="10">
        <v>29.97</v>
      </c>
      <c r="E12" s="4">
        <v>24.17</v>
      </c>
      <c r="F12" s="4">
        <v>32.85</v>
      </c>
    </row>
  </sheetData>
  <mergeCells count="1">
    <mergeCell ref="E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17666-E560-4EC5-B7F9-8E2EAC20F11D}">
  <dimension ref="A1:F12"/>
  <sheetViews>
    <sheetView workbookViewId="0">
      <selection activeCell="B9" sqref="B9"/>
    </sheetView>
  </sheetViews>
  <sheetFormatPr defaultColWidth="11.42578125" defaultRowHeight="15"/>
  <cols>
    <col min="1" max="16384" width="11.42578125" style="10"/>
  </cols>
  <sheetData>
    <row r="1" spans="1:6">
      <c r="C1" s="10" t="s">
        <v>331</v>
      </c>
      <c r="D1" s="10" t="s">
        <v>332</v>
      </c>
      <c r="E1" s="131" t="s">
        <v>333</v>
      </c>
      <c r="F1" s="131"/>
    </row>
    <row r="2" spans="1:6">
      <c r="A2" s="10" t="s">
        <v>334</v>
      </c>
      <c r="B2" s="10" t="s">
        <v>52</v>
      </c>
      <c r="C2" s="10" t="s">
        <v>335</v>
      </c>
      <c r="D2" s="10" t="s">
        <v>336</v>
      </c>
      <c r="E2" s="10" t="s">
        <v>331</v>
      </c>
      <c r="F2" s="10" t="s">
        <v>332</v>
      </c>
    </row>
    <row r="3" spans="1:6">
      <c r="A3" s="10">
        <v>1</v>
      </c>
      <c r="B3" s="10" t="s">
        <v>177</v>
      </c>
      <c r="C3" s="10">
        <v>24.38</v>
      </c>
      <c r="D3" s="10">
        <v>12.52</v>
      </c>
      <c r="E3" s="4">
        <v>16.96</v>
      </c>
      <c r="F3" s="4">
        <v>37.770000000000003</v>
      </c>
    </row>
    <row r="4" spans="1:6">
      <c r="A4" s="10">
        <v>2</v>
      </c>
      <c r="B4" s="10" t="s">
        <v>168</v>
      </c>
      <c r="C4" s="10">
        <v>35.83</v>
      </c>
      <c r="D4" s="10">
        <v>31.32</v>
      </c>
      <c r="E4" s="4">
        <v>39.03</v>
      </c>
      <c r="F4" s="4">
        <v>33.4</v>
      </c>
    </row>
    <row r="5" spans="1:6">
      <c r="A5" s="10">
        <v>3</v>
      </c>
      <c r="B5" s="10" t="s">
        <v>190</v>
      </c>
      <c r="C5" s="10">
        <v>16.420000000000002</v>
      </c>
      <c r="D5" s="10">
        <v>18.21</v>
      </c>
      <c r="E5" s="4">
        <v>30.78</v>
      </c>
      <c r="F5" s="4">
        <v>28.89</v>
      </c>
    </row>
    <row r="6" spans="1:6">
      <c r="A6" s="10">
        <v>4</v>
      </c>
      <c r="B6" s="10" t="s">
        <v>337</v>
      </c>
      <c r="C6" s="10">
        <v>22.24</v>
      </c>
      <c r="D6" s="10">
        <v>21.7</v>
      </c>
      <c r="E6" s="4">
        <v>22.16</v>
      </c>
      <c r="F6" s="4">
        <v>24.89</v>
      </c>
    </row>
    <row r="7" spans="1:6">
      <c r="A7" s="10">
        <v>5</v>
      </c>
      <c r="B7" s="10" t="s">
        <v>338</v>
      </c>
      <c r="C7" s="10">
        <v>9.4499999999999993</v>
      </c>
      <c r="D7" s="10">
        <v>14.89</v>
      </c>
      <c r="E7" s="4">
        <v>16.600000000000001</v>
      </c>
      <c r="F7" s="4">
        <v>22.83</v>
      </c>
    </row>
    <row r="8" spans="1:6">
      <c r="A8" s="10">
        <v>6</v>
      </c>
      <c r="B8" s="10" t="s">
        <v>339</v>
      </c>
      <c r="C8" s="10">
        <v>31.02</v>
      </c>
      <c r="D8" s="10">
        <v>26.48</v>
      </c>
      <c r="E8" s="4">
        <v>33.409999999999997</v>
      </c>
      <c r="F8" s="4">
        <v>33.17</v>
      </c>
    </row>
    <row r="9" spans="1:6">
      <c r="A9" s="10">
        <v>7</v>
      </c>
      <c r="B9" s="10" t="s">
        <v>340</v>
      </c>
      <c r="C9" s="10">
        <v>10.51</v>
      </c>
      <c r="D9" s="10">
        <v>23.41</v>
      </c>
      <c r="E9" s="4">
        <v>16.600000000000001</v>
      </c>
      <c r="F9" s="4">
        <v>13.53</v>
      </c>
    </row>
    <row r="10" spans="1:6">
      <c r="A10" s="10">
        <v>8</v>
      </c>
      <c r="B10" s="10" t="s">
        <v>341</v>
      </c>
      <c r="C10" s="10">
        <v>2.54</v>
      </c>
      <c r="D10" s="10">
        <v>10.92</v>
      </c>
      <c r="E10" s="4">
        <v>2.5299999999999998</v>
      </c>
      <c r="F10" s="4">
        <v>11.46</v>
      </c>
    </row>
    <row r="11" spans="1:6">
      <c r="A11" s="10">
        <v>9</v>
      </c>
      <c r="B11" s="10" t="s">
        <v>342</v>
      </c>
      <c r="C11" s="10">
        <v>20.29</v>
      </c>
      <c r="D11" s="10">
        <v>19.260000000000002</v>
      </c>
      <c r="E11" s="4">
        <v>19.87</v>
      </c>
      <c r="F11" s="4">
        <v>15.04</v>
      </c>
    </row>
    <row r="12" spans="1:6">
      <c r="A12" s="10">
        <v>10</v>
      </c>
      <c r="B12" s="10" t="s">
        <v>343</v>
      </c>
      <c r="C12" s="10">
        <v>22.91</v>
      </c>
      <c r="D12" s="10">
        <v>29.11</v>
      </c>
      <c r="E12" s="4">
        <v>24.17</v>
      </c>
      <c r="F12" s="4">
        <v>32.85</v>
      </c>
    </row>
  </sheetData>
  <mergeCells count="1">
    <mergeCell ref="E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7c7d5c-3433-40c9-a65f-4ae7ba5ceb7f">
      <Terms xmlns="http://schemas.microsoft.com/office/infopath/2007/PartnerControls"/>
    </lcf76f155ced4ddcb4097134ff3c332f>
    <TaxCatchAll xmlns="63052927-b7c1-4c4c-b47c-8daec959291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7286AB2A90C7409CA6C9A87F5AB61F" ma:contentTypeVersion="15" ma:contentTypeDescription="Crear nuevo documento." ma:contentTypeScope="" ma:versionID="a75e863c2fd69d9e3e5c6564587d4445">
  <xsd:schema xmlns:xsd="http://www.w3.org/2001/XMLSchema" xmlns:xs="http://www.w3.org/2001/XMLSchema" xmlns:p="http://schemas.microsoft.com/office/2006/metadata/properties" xmlns:ns2="e97c7d5c-3433-40c9-a65f-4ae7ba5ceb7f" xmlns:ns3="63052927-b7c1-4c4c-b47c-8daec9592917" targetNamespace="http://schemas.microsoft.com/office/2006/metadata/properties" ma:root="true" ma:fieldsID="ed82a640261d259419cdfe27208c8ff7" ns2:_="" ns3:_="">
    <xsd:import namespace="e97c7d5c-3433-40c9-a65f-4ae7ba5ceb7f"/>
    <xsd:import namespace="63052927-b7c1-4c4c-b47c-8daec95929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c7d5c-3433-40c9-a65f-4ae7ba5ceb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41409a9a-6146-49a3-b0cc-bee140049b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52927-b7c1-4c4c-b47c-8daec959291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e17dbfd-6557-4376-9f6c-c00552e150f7}" ma:internalName="TaxCatchAll" ma:showField="CatchAllData" ma:web="63052927-b7c1-4c4c-b47c-8daec95929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D55554-8F7D-437F-A439-6BD9B8C894CA}"/>
</file>

<file path=customXml/itemProps2.xml><?xml version="1.0" encoding="utf-8"?>
<ds:datastoreItem xmlns:ds="http://schemas.openxmlformats.org/officeDocument/2006/customXml" ds:itemID="{2E88F4E7-07AB-4058-8BC0-188C4FA28006}"/>
</file>

<file path=customXml/itemProps3.xml><?xml version="1.0" encoding="utf-8"?>
<ds:datastoreItem xmlns:ds="http://schemas.openxmlformats.org/officeDocument/2006/customXml" ds:itemID="{5B0E862A-9BA3-4473-B832-2380D72007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panamericana</dc:creator>
  <cp:keywords/>
  <dc:description/>
  <cp:lastModifiedBy/>
  <cp:revision/>
  <dcterms:created xsi:type="dcterms:W3CDTF">2020-12-30T16:12:32Z</dcterms:created>
  <dcterms:modified xsi:type="dcterms:W3CDTF">2024-03-01T14:47:33Z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0x0101009A7286AB2A90C7409CA6C9A87F5AB61F</vt:lpwstr>
  </property>
</Properties>
</file>