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Ex2.xml" ContentType="application/vnd.ms-office.chartex+xml"/>
  <Override PartName="/xl/charts/style2.xml" ContentType="application/vnd.ms-office.chartstyle+xml"/>
  <Override PartName="/xl/charts/colors2.xml" ContentType="application/vnd.ms-office.chartcolorstyle+xml"/>
  <Override PartName="/xl/charts/chartEx3.xml" ContentType="application/vnd.ms-office.chartex+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Ex4.xml" ContentType="application/vnd.ms-office.chartex+xml"/>
  <Override PartName="/xl/charts/style4.xml" ContentType="application/vnd.ms-office.chartstyle+xml"/>
  <Override PartName="/xl/charts/colors4.xml" ContentType="application/vnd.ms-office.chartcolorstyle+xml"/>
  <Override PartName="/xl/charts/chartEx5.xml" ContentType="application/vnd.ms-office.chartex+xml"/>
  <Override PartName="/xl/charts/style5.xml" ContentType="application/vnd.ms-office.chartstyle+xml"/>
  <Override PartName="/xl/charts/colors5.xml" ContentType="application/vnd.ms-office.chartcolorstyle+xml"/>
  <Override PartName="/xl/charts/chartEx6.xml" ContentType="application/vnd.ms-office.chartex+xml"/>
  <Override PartName="/xl/charts/style6.xml" ContentType="application/vnd.ms-office.chartstyle+xml"/>
  <Override PartName="/xl/charts/colors6.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panamericana\Documents\1unicoc\20232\investigaciones\granados borja duran\"/>
    </mc:Choice>
  </mc:AlternateContent>
  <xr:revisionPtr revIDLastSave="0" documentId="13_ncr:1_{5D5334D4-B908-4C8E-A507-B4BEE2007BA5}" xr6:coauthVersionLast="47" xr6:coauthVersionMax="47" xr10:uidLastSave="{00000000-0000-0000-0000-000000000000}"/>
  <bookViews>
    <workbookView xWindow="-120" yWindow="-120" windowWidth="20730" windowHeight="11040" xr2:uid="{DE532484-B232-4F9F-9078-91F5D5BAD60B}"/>
  </bookViews>
  <sheets>
    <sheet name="resultadso" sheetId="4" r:id="rId1"/>
    <sheet name="objetivos" sheetId="2" r:id="rId2"/>
    <sheet name="base" sheetId="3" r:id="rId3"/>
    <sheet name="Hoja1" sheetId="1" r:id="rId4"/>
  </sheets>
  <externalReferences>
    <externalReference r:id="rId5"/>
  </externalReferences>
  <definedNames>
    <definedName name="_Toc132666914" localSheetId="1">objetivos!$A$2</definedName>
    <definedName name="_Toc132666915" localSheetId="1">objetivos!$A$5</definedName>
    <definedName name="_Toc132666916" localSheetId="1">objetivos!$A$6</definedName>
    <definedName name="_xlchart.v1.0" hidden="1">resultadso!#REF!</definedName>
    <definedName name="_xlchart.v1.1" hidden="1">resultadso!#REF!</definedName>
    <definedName name="_xlchart.v1.10" hidden="1">resultadso!#REF!</definedName>
    <definedName name="_xlchart.v1.11" hidden="1">resultadso!#REF!</definedName>
    <definedName name="_xlchart.v1.12" hidden="1">base!$B$4</definedName>
    <definedName name="_xlchart.v1.13" hidden="1">base!$B$5:$B$27</definedName>
    <definedName name="_xlchart.v1.14" hidden="1">base!$C$4</definedName>
    <definedName name="_xlchart.v1.15" hidden="1">base!$C$5:$C$27</definedName>
    <definedName name="_xlchart.v1.16" hidden="1">base!$D$4</definedName>
    <definedName name="_xlchart.v1.17" hidden="1">base!$D$5:$D$27</definedName>
    <definedName name="_xlchart.v1.18" hidden="1">base!$E$4</definedName>
    <definedName name="_xlchart.v1.19" hidden="1">base!$E$5:$E$27</definedName>
    <definedName name="_xlchart.v1.2" hidden="1">resultadso!#REF!</definedName>
    <definedName name="_xlchart.v1.20" hidden="1">base!$F$4</definedName>
    <definedName name="_xlchart.v1.21" hidden="1">base!$F$5:$F$27</definedName>
    <definedName name="_xlchart.v1.22" hidden="1">base!$G$4</definedName>
    <definedName name="_xlchart.v1.23" hidden="1">base!$G$5:$G$27</definedName>
    <definedName name="_xlchart.v1.24" hidden="1">base!$D$4</definedName>
    <definedName name="_xlchart.v1.25" hidden="1">base!$D$5:$D$27</definedName>
    <definedName name="_xlchart.v1.26" hidden="1">base!$E$4</definedName>
    <definedName name="_xlchart.v1.27" hidden="1">base!$E$5:$E$27</definedName>
    <definedName name="_xlchart.v1.28" hidden="1">base!$B$4</definedName>
    <definedName name="_xlchart.v1.29" hidden="1">base!$B$5:$B$27</definedName>
    <definedName name="_xlchart.v1.3" hidden="1">resultadso!#REF!</definedName>
    <definedName name="_xlchart.v1.30" hidden="1">base!$C$4</definedName>
    <definedName name="_xlchart.v1.31" hidden="1">base!$C$5:$C$27</definedName>
    <definedName name="_xlchart.v1.32" hidden="1">base!$F$4</definedName>
    <definedName name="_xlchart.v1.33" hidden="1">base!$F$5:$F$27</definedName>
    <definedName name="_xlchart.v1.34" hidden="1">base!$G$4</definedName>
    <definedName name="_xlchart.v1.35" hidden="1">base!$G$5:$G$27</definedName>
    <definedName name="_xlchart.v1.4" hidden="1">resultadso!#REF!</definedName>
    <definedName name="_xlchart.v1.5" hidden="1">resultadso!#REF!</definedName>
    <definedName name="_xlchart.v1.6" hidden="1">resultadso!#REF!</definedName>
    <definedName name="_xlchart.v1.7" hidden="1">resultadso!#REF!</definedName>
    <definedName name="_xlchart.v1.8" hidden="1">resultadso!#REF!</definedName>
    <definedName name="_xlchart.v1.9" hidden="1">resultadso!#REF!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13" i="3" l="1"/>
  <c r="O112" i="3"/>
  <c r="N112" i="3"/>
  <c r="N111" i="3"/>
  <c r="N110" i="3"/>
  <c r="N108" i="3"/>
  <c r="N107" i="3"/>
  <c r="O104" i="3"/>
  <c r="N104" i="3"/>
  <c r="O102" i="3"/>
  <c r="N102" i="3"/>
  <c r="O101" i="3"/>
  <c r="N101" i="3"/>
  <c r="O100" i="3"/>
  <c r="N100" i="3"/>
  <c r="K114" i="3"/>
  <c r="J114" i="3"/>
  <c r="I114" i="3"/>
  <c r="H114" i="3"/>
  <c r="D114" i="3"/>
  <c r="E114" i="3"/>
  <c r="C114" i="3"/>
  <c r="K113" i="3"/>
  <c r="J113" i="3"/>
  <c r="E113" i="3"/>
  <c r="D113" i="3"/>
  <c r="C113" i="3"/>
  <c r="G111" i="3"/>
  <c r="K109" i="3"/>
  <c r="J109" i="3"/>
  <c r="I109" i="3"/>
  <c r="H109" i="3"/>
  <c r="G109" i="3"/>
  <c r="F109" i="3"/>
  <c r="D109" i="3"/>
  <c r="E109" i="3"/>
  <c r="C109" i="3"/>
  <c r="K108" i="3"/>
  <c r="J108" i="3"/>
  <c r="G108" i="3"/>
  <c r="F108" i="3"/>
  <c r="E108" i="3"/>
  <c r="D108" i="3"/>
  <c r="C108" i="3"/>
  <c r="F104" i="3"/>
  <c r="E104" i="3"/>
  <c r="E103" i="3"/>
  <c r="D103" i="3"/>
  <c r="C103" i="3"/>
  <c r="E102" i="3"/>
  <c r="D102" i="3"/>
  <c r="C102" i="3"/>
  <c r="B103" i="3"/>
  <c r="B102" i="3"/>
  <c r="O91" i="3"/>
  <c r="O90" i="3"/>
  <c r="N90" i="3"/>
  <c r="N89" i="3"/>
  <c r="N88" i="3"/>
  <c r="N86" i="3"/>
  <c r="N85" i="3"/>
  <c r="O82" i="3"/>
  <c r="N82" i="3"/>
  <c r="O80" i="3"/>
  <c r="N80" i="3"/>
  <c r="O79" i="3"/>
  <c r="N79" i="3"/>
  <c r="O78" i="3"/>
  <c r="N78" i="3"/>
  <c r="K92" i="3"/>
  <c r="J92" i="3"/>
  <c r="I92" i="3"/>
  <c r="H92" i="3"/>
  <c r="D92" i="3"/>
  <c r="E92" i="3"/>
  <c r="C92" i="3"/>
  <c r="K91" i="3"/>
  <c r="J91" i="3"/>
  <c r="E91" i="3"/>
  <c r="D91" i="3"/>
  <c r="C91" i="3"/>
  <c r="G89" i="3"/>
  <c r="K87" i="3"/>
  <c r="J87" i="3"/>
  <c r="I87" i="3"/>
  <c r="H87" i="3"/>
  <c r="G87" i="3"/>
  <c r="F87" i="3"/>
  <c r="D87" i="3"/>
  <c r="E87" i="3"/>
  <c r="C87" i="3"/>
  <c r="K86" i="3"/>
  <c r="J86" i="3"/>
  <c r="G86" i="3"/>
  <c r="F86" i="3"/>
  <c r="E86" i="3"/>
  <c r="D86" i="3"/>
  <c r="C86" i="3"/>
  <c r="F82" i="3"/>
  <c r="E82" i="3"/>
  <c r="E81" i="3"/>
  <c r="D81" i="3"/>
  <c r="C81" i="3"/>
  <c r="E80" i="3"/>
  <c r="D80" i="3"/>
  <c r="C80" i="3"/>
  <c r="B81" i="3"/>
  <c r="B80" i="3"/>
  <c r="O55" i="3"/>
  <c r="N55" i="3"/>
  <c r="O54" i="3"/>
  <c r="N54" i="3"/>
  <c r="N61" i="3" s="1"/>
  <c r="O53" i="3"/>
  <c r="N53" i="3"/>
  <c r="G64" i="3"/>
  <c r="E56" i="3"/>
  <c r="D56" i="3"/>
  <c r="C56" i="3"/>
  <c r="E55" i="3"/>
  <c r="D55" i="3"/>
  <c r="C55" i="3"/>
  <c r="E61" i="3" s="1"/>
  <c r="E62" i="3" s="1"/>
  <c r="G62" i="3" s="1"/>
  <c r="B56" i="3"/>
  <c r="B55" i="3"/>
  <c r="T6" i="3"/>
  <c r="U6" i="3"/>
  <c r="V6" i="3"/>
  <c r="W6" i="3"/>
  <c r="X6" i="3"/>
  <c r="S6" i="3"/>
  <c r="L7" i="3"/>
  <c r="M7" i="3"/>
  <c r="N7" i="3"/>
  <c r="O7" i="3"/>
  <c r="P7" i="3"/>
  <c r="L8" i="3"/>
  <c r="M8" i="3"/>
  <c r="N8" i="3"/>
  <c r="O8" i="3"/>
  <c r="P8" i="3"/>
  <c r="L9" i="3"/>
  <c r="M9" i="3"/>
  <c r="N9" i="3"/>
  <c r="O9" i="3"/>
  <c r="P9" i="3"/>
  <c r="L10" i="3"/>
  <c r="M10" i="3"/>
  <c r="N10" i="3"/>
  <c r="O10" i="3"/>
  <c r="P10" i="3"/>
  <c r="L11" i="3"/>
  <c r="M11" i="3"/>
  <c r="N11" i="3"/>
  <c r="O11" i="3"/>
  <c r="P11" i="3"/>
  <c r="L12" i="3"/>
  <c r="M12" i="3"/>
  <c r="N12" i="3"/>
  <c r="O12" i="3"/>
  <c r="P12" i="3"/>
  <c r="L13" i="3"/>
  <c r="M13" i="3"/>
  <c r="N13" i="3"/>
  <c r="O13" i="3"/>
  <c r="P13" i="3"/>
  <c r="L14" i="3"/>
  <c r="M14" i="3"/>
  <c r="N14" i="3"/>
  <c r="O14" i="3"/>
  <c r="P14" i="3"/>
  <c r="L16" i="3"/>
  <c r="M16" i="3"/>
  <c r="N16" i="3"/>
  <c r="O16" i="3"/>
  <c r="P16" i="3"/>
  <c r="L17" i="3"/>
  <c r="M17" i="3"/>
  <c r="N17" i="3"/>
  <c r="O17" i="3"/>
  <c r="O15" i="3" s="1"/>
  <c r="P17" i="3"/>
  <c r="L18" i="3"/>
  <c r="M18" i="3"/>
  <c r="N18" i="3"/>
  <c r="O18" i="3"/>
  <c r="P18" i="3"/>
  <c r="L19" i="3"/>
  <c r="M19" i="3"/>
  <c r="N19" i="3"/>
  <c r="O19" i="3"/>
  <c r="P19" i="3"/>
  <c r="L20" i="3"/>
  <c r="M20" i="3"/>
  <c r="N20" i="3"/>
  <c r="O20" i="3"/>
  <c r="P20" i="3"/>
  <c r="L21" i="3"/>
  <c r="M21" i="3"/>
  <c r="N21" i="3"/>
  <c r="O21" i="3"/>
  <c r="P21" i="3"/>
  <c r="L22" i="3"/>
  <c r="M22" i="3"/>
  <c r="N22" i="3"/>
  <c r="O22" i="3"/>
  <c r="P22" i="3"/>
  <c r="K22" i="3"/>
  <c r="K21" i="3"/>
  <c r="K20" i="3"/>
  <c r="K19" i="3"/>
  <c r="K18" i="3"/>
  <c r="K17" i="3"/>
  <c r="K16" i="3"/>
  <c r="K14" i="3"/>
  <c r="K13" i="3"/>
  <c r="K12" i="3"/>
  <c r="K11" i="3"/>
  <c r="K10" i="3"/>
  <c r="K9" i="3"/>
  <c r="K8" i="3"/>
  <c r="K7" i="3"/>
  <c r="L6" i="3"/>
  <c r="M6" i="3"/>
  <c r="N6" i="3"/>
  <c r="O6" i="3"/>
  <c r="P6" i="3"/>
  <c r="K6" i="3"/>
  <c r="N113" i="3"/>
  <c r="N109" i="3"/>
  <c r="O103" i="3"/>
  <c r="N103" i="3"/>
  <c r="G114" i="3"/>
  <c r="F114" i="3"/>
  <c r="G113" i="3"/>
  <c r="F113" i="3"/>
  <c r="N91" i="3"/>
  <c r="N87" i="3"/>
  <c r="O81" i="3"/>
  <c r="N81" i="3"/>
  <c r="G92" i="3"/>
  <c r="F92" i="3"/>
  <c r="G91" i="3"/>
  <c r="F91" i="3"/>
  <c r="N62" i="3"/>
  <c r="O56" i="3"/>
  <c r="N56" i="3"/>
  <c r="T14" i="3"/>
  <c r="W15" i="3"/>
  <c r="U14" i="3"/>
  <c r="X15" i="3"/>
  <c r="V14" i="3"/>
  <c r="W14" i="3"/>
  <c r="X14" i="3"/>
  <c r="T15" i="3"/>
  <c r="U15" i="3"/>
  <c r="V15" i="3"/>
  <c r="S15" i="3"/>
  <c r="S14" i="3"/>
  <c r="T7" i="3"/>
  <c r="W8" i="3"/>
  <c r="U7" i="3"/>
  <c r="X8" i="3"/>
  <c r="V7" i="3"/>
  <c r="W7" i="3"/>
  <c r="X7" i="3"/>
  <c r="T8" i="3"/>
  <c r="U8" i="3"/>
  <c r="V8" i="3"/>
  <c r="S8" i="3"/>
  <c r="S7" i="3"/>
  <c r="L23" i="3"/>
  <c r="O24" i="3"/>
  <c r="N23" i="3"/>
  <c r="M23" i="3"/>
  <c r="P24" i="3"/>
  <c r="O23" i="3"/>
  <c r="P23" i="3"/>
  <c r="N24" i="3"/>
  <c r="L24" i="3"/>
  <c r="M24" i="3"/>
  <c r="K24" i="3"/>
  <c r="K23" i="3"/>
  <c r="E66" i="3" l="1"/>
  <c r="E57" i="3"/>
  <c r="C61" i="3" s="1"/>
  <c r="C62" i="3" s="1"/>
  <c r="I62" i="3" s="1"/>
  <c r="N57" i="3"/>
  <c r="G61" i="3"/>
  <c r="H62" i="3"/>
  <c r="O57" i="3"/>
  <c r="F57" i="3"/>
  <c r="C66" i="3"/>
  <c r="C67" i="3" s="1"/>
  <c r="L15" i="3"/>
  <c r="S10" i="3"/>
  <c r="S17" i="3"/>
  <c r="P15" i="3"/>
  <c r="N15" i="3"/>
  <c r="M15" i="3"/>
  <c r="V17" i="3"/>
  <c r="U17" i="3"/>
  <c r="T17" i="3"/>
  <c r="X17" i="3"/>
  <c r="W17" i="3"/>
  <c r="V10" i="3"/>
  <c r="U10" i="3"/>
  <c r="T10" i="3"/>
  <c r="X10" i="3"/>
  <c r="W10" i="3"/>
  <c r="K15" i="3"/>
  <c r="G66" i="3"/>
  <c r="E67" i="3" l="1"/>
  <c r="D61" i="3"/>
  <c r="F61" i="3" s="1"/>
  <c r="J61" i="3" s="1"/>
  <c r="K61" i="3"/>
  <c r="K62" i="3" s="1"/>
  <c r="D66" i="3"/>
  <c r="N60" i="3"/>
  <c r="G67" i="3"/>
  <c r="F66" i="3"/>
  <c r="N66" i="3"/>
  <c r="D62" i="3" l="1"/>
  <c r="F62" i="3" s="1"/>
  <c r="J62" i="3" s="1"/>
  <c r="I67" i="3"/>
  <c r="H67" i="3"/>
  <c r="O66" i="3"/>
  <c r="J66" i="3"/>
  <c r="N63" i="3"/>
  <c r="D67" i="3"/>
  <c r="K66" i="3"/>
  <c r="K67" i="3" s="1"/>
  <c r="F67" i="3"/>
  <c r="J67" i="3" l="1"/>
  <c r="N65" i="3"/>
  <c r="O65" i="3" s="1"/>
  <c r="N6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panamericana</author>
  </authors>
  <commentList>
    <comment ref="H7" authorId="0" shapeId="0" xr:uid="{D9E41461-2ADD-43BE-BFC0-FCB7547FADAB}">
      <text>
        <r>
          <rPr>
            <b/>
            <sz val="9"/>
            <color indexed="81"/>
            <rFont val="Tahoma"/>
            <family val="2"/>
          </rPr>
          <t>Muestra 23 observaciones</t>
        </r>
        <r>
          <rPr>
            <sz val="9"/>
            <color indexed="81"/>
            <rFont val="Tahoma"/>
            <family val="2"/>
          </rPr>
          <t xml:space="preserve">
</t>
        </r>
      </text>
    </comment>
    <comment ref="K7" authorId="0" shapeId="0" xr:uid="{D2957230-C6F7-4676-9377-F47D6187996D}">
      <text>
        <r>
          <rPr>
            <b/>
            <sz val="9"/>
            <color indexed="81"/>
            <rFont val="Tahoma"/>
            <family val="2"/>
          </rPr>
          <t>Ribbon presenta mediana de 63,9 Mpa de resistencai 1 menos que  Interling</t>
        </r>
        <r>
          <rPr>
            <sz val="9"/>
            <color indexed="81"/>
            <rFont val="Tahoma"/>
            <family val="2"/>
          </rPr>
          <t xml:space="preserve">
</t>
        </r>
      </text>
    </comment>
    <comment ref="O7" authorId="0" shapeId="0" xr:uid="{17220AA5-CD80-417E-9EB5-64FCB210D15E}">
      <text>
        <r>
          <rPr>
            <b/>
            <sz val="9"/>
            <color indexed="81"/>
            <rFont val="Tahoma"/>
            <family val="2"/>
          </rPr>
          <t>la medidas no presentan distribivion normal</t>
        </r>
        <r>
          <rPr>
            <sz val="9"/>
            <color indexed="81"/>
            <rFont val="Tahoma"/>
            <family val="2"/>
          </rPr>
          <t xml:space="preserve">
</t>
        </r>
      </text>
    </comment>
    <comment ref="L10" authorId="0" shapeId="0" xr:uid="{21D69E50-A48C-4041-A9D1-31A8325C7A35}">
      <text>
        <r>
          <rPr>
            <b/>
            <sz val="9"/>
            <color indexed="81"/>
            <rFont val="Tahoma"/>
            <family val="2"/>
          </rPr>
          <t>Interling, presneta una deformacion max de 5,6%, 1% menos que ribbon</t>
        </r>
        <r>
          <rPr>
            <sz val="9"/>
            <color indexed="81"/>
            <rFont val="Tahoma"/>
            <family val="2"/>
          </rPr>
          <t xml:space="preserve">
</t>
        </r>
      </text>
    </comment>
    <comment ref="I12" authorId="0" shapeId="0" xr:uid="{78A27C03-4AA8-4875-901F-AF9F65F49495}">
      <text>
        <r>
          <rPr>
            <b/>
            <sz val="9"/>
            <color indexed="81"/>
            <rFont val="Tahoma"/>
            <family val="2"/>
          </rPr>
          <t>Inteerling tiene hy¿u  proemdio de 1470,96 Mpa de Módulo elástico, 18 menos que Ribbon</t>
        </r>
        <r>
          <rPr>
            <sz val="9"/>
            <color indexed="81"/>
            <rFont val="Tahoma"/>
            <family val="2"/>
          </rPr>
          <t xml:space="preserve">
</t>
        </r>
      </text>
    </comment>
  </commentList>
</comments>
</file>

<file path=xl/sharedStrings.xml><?xml version="1.0" encoding="utf-8"?>
<sst xmlns="http://schemas.openxmlformats.org/spreadsheetml/2006/main" count="389" uniqueCount="159">
  <si>
    <t>Test Name</t>
  </si>
  <si>
    <t>Test Mode</t>
  </si>
  <si>
    <t>Test Type</t>
  </si>
  <si>
    <t>Control</t>
  </si>
  <si>
    <t>Test Speed 1</t>
  </si>
  <si>
    <t>Test Speed 2</t>
  </si>
  <si>
    <t>Test Speed 3</t>
  </si>
  <si>
    <t>Change Point 1</t>
  </si>
  <si>
    <t>Change Point 2</t>
  </si>
  <si>
    <t>Disp. Origin</t>
  </si>
  <si>
    <t>Break and Limit Action</t>
  </si>
  <si>
    <t>Sensitivity:</t>
  </si>
  <si>
    <t>Level:</t>
  </si>
  <si>
    <t>Flexion(27-06-2023).tai</t>
  </si>
  <si>
    <t>Single</t>
  </si>
  <si>
    <t>3 Point</t>
  </si>
  <si>
    <t>Stroke</t>
  </si>
  <si>
    <t>Off</t>
  </si>
  <si>
    <t>Start</t>
  </si>
  <si>
    <t>Stop</t>
  </si>
  <si>
    <t>Title</t>
  </si>
  <si>
    <t>Sub title</t>
  </si>
  <si>
    <t>Humidity</t>
  </si>
  <si>
    <t>Temperature</t>
  </si>
  <si>
    <t>Comment</t>
  </si>
  <si>
    <t>Name</t>
  </si>
  <si>
    <t>Resitencia flexural</t>
  </si>
  <si>
    <t>Deformación</t>
  </si>
  <si>
    <t>Módulo elástico</t>
  </si>
  <si>
    <t>Units</t>
  </si>
  <si>
    <t>MPa</t>
  </si>
  <si>
    <t>%</t>
  </si>
  <si>
    <t xml:space="preserve"> Ribbond - 1</t>
  </si>
  <si>
    <t xml:space="preserve"> Interlig - 1</t>
  </si>
  <si>
    <t xml:space="preserve"> Ribbond - 2</t>
  </si>
  <si>
    <t xml:space="preserve"> Interlig - 2</t>
  </si>
  <si>
    <t xml:space="preserve"> Ribbond - 3</t>
  </si>
  <si>
    <t xml:space="preserve"> Interlig - 3</t>
  </si>
  <si>
    <t xml:space="preserve"> Ribbond - 4</t>
  </si>
  <si>
    <t xml:space="preserve"> Interlig - 4</t>
  </si>
  <si>
    <t xml:space="preserve"> Ribbond - 5</t>
  </si>
  <si>
    <t xml:space="preserve"> Interlig - 5</t>
  </si>
  <si>
    <t xml:space="preserve"> Ribbond - 6</t>
  </si>
  <si>
    <t xml:space="preserve"> Interlig - 6</t>
  </si>
  <si>
    <t xml:space="preserve"> Ribbond - 7</t>
  </si>
  <si>
    <t xml:space="preserve"> Interlig - 7</t>
  </si>
  <si>
    <t xml:space="preserve"> Ribbond - 8</t>
  </si>
  <si>
    <t xml:space="preserve"> Interlig - 8</t>
  </si>
  <si>
    <t xml:space="preserve"> Ribbond - 9</t>
  </si>
  <si>
    <t xml:space="preserve"> Interlig - 9</t>
  </si>
  <si>
    <t xml:space="preserve"> Ribbond - 10</t>
  </si>
  <si>
    <t xml:space="preserve"> Interlig - 10</t>
  </si>
  <si>
    <t xml:space="preserve"> Ribbond - 11</t>
  </si>
  <si>
    <t xml:space="preserve"> Interlig - 11</t>
  </si>
  <si>
    <t xml:space="preserve"> Ribbond - 12</t>
  </si>
  <si>
    <t xml:space="preserve"> Interlig - 12</t>
  </si>
  <si>
    <t xml:space="preserve"> Ribbond - 13</t>
  </si>
  <si>
    <t xml:space="preserve"> Interlig - 13</t>
  </si>
  <si>
    <t xml:space="preserve"> Ribbond - 14</t>
  </si>
  <si>
    <t xml:space="preserve"> Interlig - 14</t>
  </si>
  <si>
    <t xml:space="preserve"> Ribbond - 15</t>
  </si>
  <si>
    <t xml:space="preserve"> Interlig - 15</t>
  </si>
  <si>
    <t xml:space="preserve"> Ribbond - 16</t>
  </si>
  <si>
    <t xml:space="preserve"> Interlig - 16</t>
  </si>
  <si>
    <t xml:space="preserve"> Ribbond - 17</t>
  </si>
  <si>
    <t xml:space="preserve"> Interlig - 17</t>
  </si>
  <si>
    <t xml:space="preserve"> Ribbond - 18</t>
  </si>
  <si>
    <t xml:space="preserve"> Interlig - 18</t>
  </si>
  <si>
    <t xml:space="preserve"> Ribbond - 19</t>
  </si>
  <si>
    <t xml:space="preserve"> Interlig - 19</t>
  </si>
  <si>
    <t xml:space="preserve"> Ribbond - 20</t>
  </si>
  <si>
    <t xml:space="preserve"> Interlig - 20</t>
  </si>
  <si>
    <t xml:space="preserve"> Ribbond - 21</t>
  </si>
  <si>
    <t xml:space="preserve"> Interlig - 21</t>
  </si>
  <si>
    <t xml:space="preserve"> Mean</t>
  </si>
  <si>
    <t xml:space="preserve"> Standard Deviation</t>
  </si>
  <si>
    <r>
      <t>1.</t>
    </r>
    <r>
      <rPr>
        <sz val="7"/>
        <color theme="1"/>
        <rFont val="Times New Roman"/>
        <family val="1"/>
      </rPr>
      <t xml:space="preserve">    </t>
    </r>
    <r>
      <rPr>
        <sz val="12"/>
        <color theme="1"/>
        <rFont val="Arial"/>
        <family val="2"/>
      </rPr>
      <t xml:space="preserve">OBJETIVO GENERAL </t>
    </r>
  </si>
  <si>
    <t>Comparar la resistencia flexural, de las fibras de polietileno trenzadas (Ribbond) versus las fibras de vidrio trenzadas (Interling Angelous),  en láminas de resina fluida con una ubicación de cada tipo de fibra interpuesta entre la resina fluida.</t>
  </si>
  <si>
    <r>
      <t>1.1.</t>
    </r>
    <r>
      <rPr>
        <sz val="7"/>
        <color theme="1"/>
        <rFont val="Times New Roman"/>
        <family val="1"/>
      </rPr>
      <t xml:space="preserve"> </t>
    </r>
    <r>
      <rPr>
        <sz val="12"/>
        <color theme="1"/>
        <rFont val="Arial"/>
        <family val="2"/>
      </rPr>
      <t>OBJETIVOS ESPECÍFICOS</t>
    </r>
  </si>
  <si>
    <r>
      <t>-</t>
    </r>
    <r>
      <rPr>
        <sz val="7"/>
        <color rgb="FF000000"/>
        <rFont val="Times New Roman"/>
        <family val="1"/>
      </rPr>
      <t xml:space="preserve">       </t>
    </r>
    <r>
      <rPr>
        <sz val="12"/>
        <color rgb="FF000000"/>
        <rFont val="Arial"/>
        <family val="2"/>
      </rPr>
      <t>Determinar la resistencia flexural, de las fibras de polietileno trenzadas Ribbond, mediante una máquina de prueba universal (Instron) a una velocidad cruceta de 0.5mm/min a temperatura ambiente.</t>
    </r>
  </si>
  <si>
    <r>
      <t>-</t>
    </r>
    <r>
      <rPr>
        <sz val="7"/>
        <color rgb="FF000000"/>
        <rFont val="Times New Roman"/>
        <family val="1"/>
      </rPr>
      <t xml:space="preserve">       </t>
    </r>
    <r>
      <rPr>
        <sz val="12"/>
        <color rgb="FF000000"/>
        <rFont val="Arial"/>
        <family val="2"/>
      </rPr>
      <t xml:space="preserve">Determinar la resistencia flexural, de las fibras de vidrio trenzadas Angelous, mediante una máquina de prueba universal (Instron) a una velocidad cruceta de 0.5mm/min a temperatura ambiente </t>
    </r>
  </si>
  <si>
    <t xml:space="preserve"> Ribbond</t>
  </si>
  <si>
    <t xml:space="preserve"> Interlig</t>
  </si>
  <si>
    <t xml:space="preserve"> Ribbond.Resitencia flexural.MPa</t>
  </si>
  <si>
    <t xml:space="preserve"> Ribbond.Deformación.%</t>
  </si>
  <si>
    <t xml:space="preserve"> Ribbond.Módulo elástico.MPa</t>
  </si>
  <si>
    <t xml:space="preserve"> Interlig.Resitencia flexural.MPa</t>
  </si>
  <si>
    <t xml:space="preserve"> Interlig.Deformación.%</t>
  </si>
  <si>
    <t xml:space="preserve"> Interlig.Módulo elástico.MPa</t>
  </si>
  <si>
    <t>Mean</t>
  </si>
  <si>
    <t>Standard Error</t>
  </si>
  <si>
    <t>Median</t>
  </si>
  <si>
    <t>Maximum</t>
  </si>
  <si>
    <t>Minimum</t>
  </si>
  <si>
    <t>Count</t>
  </si>
  <si>
    <t>IQR</t>
  </si>
  <si>
    <t>Shapiro-Wilk Test</t>
  </si>
  <si>
    <t>W-stat</t>
  </si>
  <si>
    <t>p-value</t>
  </si>
  <si>
    <t>alpha</t>
  </si>
  <si>
    <t>normal</t>
  </si>
  <si>
    <t>d'Agostino-Pearson</t>
  </si>
  <si>
    <t>DA-stat</t>
  </si>
  <si>
    <t>Resitencia flexural Mpa</t>
  </si>
  <si>
    <t>Deformación %</t>
  </si>
  <si>
    <t>Módulo elástico Mpa</t>
  </si>
  <si>
    <t>n</t>
  </si>
  <si>
    <t>SW p-value</t>
  </si>
  <si>
    <t>T Test: Two Independent Samples</t>
  </si>
  <si>
    <t>SUMMARY</t>
  </si>
  <si>
    <t>Hyp Mean Diff</t>
  </si>
  <si>
    <t>Groups</t>
  </si>
  <si>
    <t>Variance</t>
  </si>
  <si>
    <t>Cohen d</t>
  </si>
  <si>
    <t>Pooled</t>
  </si>
  <si>
    <t>T TEST: Equal Variances</t>
  </si>
  <si>
    <t>Alpha</t>
  </si>
  <si>
    <t xml:space="preserve"> </t>
  </si>
  <si>
    <t>std err</t>
  </si>
  <si>
    <t>t-stat</t>
  </si>
  <si>
    <t>df</t>
  </si>
  <si>
    <t>t-crit</t>
  </si>
  <si>
    <t>lower</t>
  </si>
  <si>
    <t>upper</t>
  </si>
  <si>
    <t>sig</t>
  </si>
  <si>
    <t>effect r</t>
  </si>
  <si>
    <t>One Tail</t>
  </si>
  <si>
    <t>Two Tail</t>
  </si>
  <si>
    <t>T TEST: Unequal Variances</t>
  </si>
  <si>
    <t>Mann-Whitney Test for Two Independent Samples</t>
  </si>
  <si>
    <t>count</t>
  </si>
  <si>
    <t>median</t>
  </si>
  <si>
    <t>rank sum</t>
  </si>
  <si>
    <t>U</t>
  </si>
  <si>
    <t>one tail</t>
  </si>
  <si>
    <t>two tail</t>
  </si>
  <si>
    <t>mean</t>
  </si>
  <si>
    <t>std dev</t>
  </si>
  <si>
    <t>ties</t>
  </si>
  <si>
    <t>z-score</t>
  </si>
  <si>
    <t>yates</t>
  </si>
  <si>
    <t>p-norm</t>
  </si>
  <si>
    <t>p-exact</t>
  </si>
  <si>
    <t>p-simul</t>
  </si>
  <si>
    <t>N/A</t>
  </si>
  <si>
    <t>MW Test p-value</t>
  </si>
  <si>
    <t>Pruebas</t>
  </si>
  <si>
    <t>Objetivo</t>
  </si>
  <si>
    <t>Analisis exploratorio de datos</t>
  </si>
  <si>
    <t>describir la muestra</t>
  </si>
  <si>
    <t>Shapiro Wilk</t>
  </si>
  <si>
    <t>Determinara si los dayso presnetan distribucio Normal</t>
  </si>
  <si>
    <t>Grubs</t>
  </si>
  <si>
    <t>Determinar al presencai de datso atipicos</t>
  </si>
  <si>
    <t>Mann Wthiney</t>
  </si>
  <si>
    <t>Comparar las mediadas</t>
  </si>
  <si>
    <t>Software</t>
  </si>
  <si>
    <t>Reañ Statoitsitics V8,4 DE Septeombre 2023</t>
  </si>
  <si>
    <t>L aulfima mediad es atipica en todso los casos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</si>
</sst>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8" formatCode="0.000"/>
    <numFmt numFmtId="169" formatCode="0.0"/>
  </numFmts>
  <fonts count="9" x14ac:knownFonts="1">
    <font>
      <sz val="11"/>
      <color theme="1"/>
      <name val="Calibri"/>
      <family val="2"/>
      <scheme val="minor"/>
    </font>
    <font>
      <sz val="12"/>
      <color theme="1"/>
      <name val="Arial"/>
      <family val="2"/>
    </font>
    <font>
      <sz val="7"/>
      <color theme="1"/>
      <name val="Times New Roman"/>
      <family val="1"/>
    </font>
    <font>
      <sz val="12"/>
      <color rgb="FF000000"/>
      <name val="Arial"/>
      <family val="2"/>
    </font>
    <font>
      <sz val="7"/>
      <color rgb="FF000000"/>
      <name val="Times New Roman"/>
      <family val="1"/>
    </font>
    <font>
      <sz val="11"/>
      <color rgb="FFFF0000"/>
      <name val="Calibri"/>
      <family val="2"/>
      <scheme val="minor"/>
    </font>
    <font>
      <i/>
      <sz val="11"/>
      <color theme="1"/>
      <name val="Calibri"/>
      <family val="2"/>
      <scheme val="minor"/>
    </font>
    <font>
      <sz val="9"/>
      <color indexed="81"/>
      <name val="Tahoma"/>
      <family val="2"/>
    </font>
    <font>
      <b/>
      <sz val="9"/>
      <color indexed="81"/>
      <name val="Tahoma"/>
      <family val="2"/>
    </font>
  </fonts>
  <fills count="4">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double">
        <color indexed="64"/>
      </top>
      <bottom style="thin">
        <color indexed="64"/>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48">
    <xf numFmtId="0" fontId="0" fillId="0" borderId="0" xfId="0"/>
    <xf numFmtId="0" fontId="0" fillId="0" borderId="1" xfId="0" applyBorder="1" applyAlignment="1">
      <alignment horizontal="center"/>
    </xf>
    <xf numFmtId="0" fontId="0" fillId="0" borderId="0" xfId="0" applyAlignment="1">
      <alignment horizontal="center"/>
    </xf>
    <xf numFmtId="0" fontId="0" fillId="0" borderId="1" xfId="0" applyBorder="1"/>
    <xf numFmtId="0" fontId="1" fillId="0" borderId="0" xfId="0" applyFont="1" applyAlignment="1">
      <alignment horizontal="justify" vertical="center"/>
    </xf>
    <xf numFmtId="0" fontId="3" fillId="0" borderId="0" xfId="0" applyFont="1" applyAlignment="1">
      <alignment horizontal="justify" vertical="center"/>
    </xf>
    <xf numFmtId="0" fontId="0" fillId="0" borderId="2" xfId="0" applyBorder="1"/>
    <xf numFmtId="0" fontId="6" fillId="0" borderId="2" xfId="0" applyFont="1" applyBorder="1" applyAlignment="1">
      <alignment horizontal="center"/>
    </xf>
    <xf numFmtId="0" fontId="0" fillId="0" borderId="2" xfId="0" applyBorder="1" applyAlignment="1">
      <alignment horizontal="right"/>
    </xf>
    <xf numFmtId="0" fontId="0" fillId="0" borderId="3" xfId="0" applyBorder="1"/>
    <xf numFmtId="0" fontId="0" fillId="0" borderId="3" xfId="0" applyBorder="1" applyAlignment="1">
      <alignment horizontal="center" wrapText="1"/>
    </xf>
    <xf numFmtId="0" fontId="0" fillId="0" borderId="2" xfId="0" applyBorder="1" applyAlignment="1">
      <alignment horizont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0" fillId="0" borderId="0" xfId="0" applyBorder="1" applyAlignment="1">
      <alignment horizontal="center" wrapText="1"/>
    </xf>
    <xf numFmtId="0" fontId="0" fillId="0" borderId="1" xfId="0" applyBorder="1" applyAlignment="1">
      <alignment horizontal="center" wrapText="1"/>
    </xf>
    <xf numFmtId="0" fontId="0" fillId="0" borderId="1" xfId="0" applyBorder="1" applyAlignment="1">
      <alignment horizontal="center" vertical="center" wrapText="1"/>
    </xf>
    <xf numFmtId="0" fontId="0" fillId="2" borderId="4" xfId="0" applyFill="1" applyBorder="1" applyAlignment="1">
      <alignment horizontal="center"/>
    </xf>
    <xf numFmtId="0" fontId="0" fillId="2" borderId="5" xfId="0" applyFill="1" applyBorder="1" applyAlignment="1">
      <alignment horizontal="center"/>
    </xf>
    <xf numFmtId="0" fontId="0" fillId="2" borderId="1" xfId="0" applyFill="1" applyBorder="1" applyAlignment="1">
      <alignment horizontal="center" vertical="center" wrapText="1"/>
    </xf>
    <xf numFmtId="2" fontId="0" fillId="0" borderId="1" xfId="0" applyNumberFormat="1" applyBorder="1"/>
    <xf numFmtId="168" fontId="5" fillId="0" borderId="1" xfId="0" applyNumberFormat="1" applyFont="1" applyBorder="1"/>
    <xf numFmtId="169" fontId="0" fillId="0" borderId="1" xfId="0" applyNumberFormat="1" applyBorder="1"/>
    <xf numFmtId="0" fontId="6" fillId="0" borderId="6" xfId="0" applyFont="1" applyBorder="1" applyAlignment="1">
      <alignment horizontal="center"/>
    </xf>
    <xf numFmtId="169" fontId="0" fillId="0" borderId="0" xfId="0" applyNumberFormat="1"/>
    <xf numFmtId="0" fontId="0" fillId="0" borderId="7" xfId="0" applyBorder="1"/>
    <xf numFmtId="0" fontId="0" fillId="0" borderId="8" xfId="0" applyBorder="1"/>
    <xf numFmtId="169" fontId="0" fillId="0" borderId="9" xfId="0" applyNumberFormat="1" applyBorder="1"/>
    <xf numFmtId="169" fontId="0" fillId="0" borderId="10" xfId="0" applyNumberFormat="1"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168" fontId="0" fillId="0" borderId="16" xfId="0" applyNumberFormat="1" applyBorder="1"/>
    <xf numFmtId="168" fontId="0" fillId="0" borderId="17" xfId="0" applyNumberFormat="1" applyBorder="1"/>
    <xf numFmtId="168" fontId="0" fillId="0" borderId="18" xfId="0" applyNumberFormat="1" applyBorder="1"/>
    <xf numFmtId="0" fontId="0" fillId="0" borderId="19" xfId="0" applyBorder="1" applyAlignment="1">
      <alignment horizontal="center" wrapText="1"/>
    </xf>
    <xf numFmtId="0" fontId="0" fillId="0" borderId="19" xfId="0" applyBorder="1"/>
    <xf numFmtId="2" fontId="0" fillId="0" borderId="19" xfId="0" applyNumberFormat="1" applyBorder="1"/>
    <xf numFmtId="168" fontId="5" fillId="0" borderId="19" xfId="0" applyNumberFormat="1" applyFont="1" applyBorder="1"/>
    <xf numFmtId="0" fontId="0" fillId="0" borderId="20" xfId="0" applyBorder="1" applyAlignment="1">
      <alignment horizontal="center" wrapText="1"/>
    </xf>
    <xf numFmtId="0" fontId="0" fillId="0" borderId="20" xfId="0" applyBorder="1"/>
    <xf numFmtId="2" fontId="0" fillId="0" borderId="20" xfId="0" applyNumberFormat="1" applyBorder="1"/>
    <xf numFmtId="168" fontId="5" fillId="0" borderId="20" xfId="0" applyNumberFormat="1" applyFont="1" applyBorder="1"/>
    <xf numFmtId="0" fontId="0" fillId="3" borderId="0" xfId="0"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Ex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_xlchart.v1.13</cx:f>
      </cx:numDim>
    </cx:data>
    <cx:data id="1">
      <cx:numDim type="val">
        <cx:f>_xlchart.v1.15</cx:f>
      </cx:numDim>
    </cx:data>
  </cx:chartData>
  <cx:chart>
    <cx:title pos="t" align="ctr" overlay="0">
      <cx:tx>
        <cx:txData>
          <cx:v>COMPARACIÓN RESISTENCIA FLEXURAL</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COMPARACIÓN RESISTENCIA FLEXURAL</a:t>
          </a:r>
        </a:p>
      </cx:txPr>
    </cx:title>
    <cx:plotArea>
      <cx:plotAreaRegion>
        <cx:series layoutId="boxWhisker" uniqueId="{2D2E40ED-5EC5-49FE-A7E7-CDE1AEE40079}">
          <cx:tx>
            <cx:txData>
              <cx:f>_xlchart.v1.12</cx:f>
              <cx:v> Ribbond.Resitencia flexural.MPa</cx:v>
            </cx:txData>
          </cx:tx>
          <cx:dataId val="0"/>
          <cx:layoutPr>
            <cx:visibility meanLine="0" meanMarker="1" nonoutliers="0" outliers="1"/>
            <cx:statistics quartileMethod="exclusive"/>
          </cx:layoutPr>
        </cx:series>
        <cx:series layoutId="boxWhisker" uniqueId="{3156BBEB-6B02-49FB-88FA-4851C186789E}">
          <cx:tx>
            <cx:txData>
              <cx:f>_xlchart.v1.14</cx:f>
              <cx:v> Interlig.Resitencia flexural.MPa</cx:v>
            </cx:txData>
          </cx:tx>
          <cx:dataId val="1"/>
          <cx:layoutPr>
            <cx:visibility meanLine="0" meanMarker="1" nonoutliers="0" outliers="1"/>
            <cx:statistics quartileMethod="exclusive"/>
          </cx:layoutPr>
        </cx:series>
      </cx:plotAreaRegion>
      <cx:axis id="0" hidden="1">
        <cx:catScaling gapWidth="1"/>
        <cx:title>
          <cx:tx>
            <cx:txData>
              <cx:v>GRUPO</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GRUPO</a:t>
              </a:r>
            </a:p>
          </cx:txPr>
        </cx:title>
        <cx:tickLabels/>
      </cx:axis>
      <cx:axis id="1">
        <cx:valScaling/>
        <cx:title>
          <cx:tx>
            <cx:txData>
              <cx:v>MPa</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MPa</a:t>
              </a:r>
            </a:p>
          </cx:txPr>
        </cx:title>
        <cx:majorGridlines/>
        <cx:tickLabels/>
      </cx:axis>
    </cx:plotArea>
    <cx:legend pos="t" align="ctr" overlay="0"/>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numDim type="val">
        <cx:f>_xlchart.v1.17</cx:f>
      </cx:numDim>
    </cx:data>
    <cx:data id="1">
      <cx:numDim type="val">
        <cx:f>_xlchart.v1.19</cx:f>
      </cx:numDim>
    </cx:data>
  </cx:chartData>
  <cx:chart>
    <cx:title pos="t" align="ctr" overlay="0">
      <cx:tx>
        <cx:txData>
          <cx:v>COMPARACIÓN DEFORMACIÓN</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COMPARACIÓN DEFORMACIÓN</a:t>
          </a:r>
        </a:p>
      </cx:txPr>
    </cx:title>
    <cx:plotArea>
      <cx:plotAreaRegion>
        <cx:series layoutId="boxWhisker" uniqueId="{550109FE-624F-47CF-A1C3-E4C3946BC697}">
          <cx:tx>
            <cx:txData>
              <cx:f>_xlchart.v1.16</cx:f>
              <cx:v> Ribbond.Deformación.%</cx:v>
            </cx:txData>
          </cx:tx>
          <cx:dataId val="0"/>
          <cx:layoutPr>
            <cx:statistics quartileMethod="exclusive"/>
          </cx:layoutPr>
        </cx:series>
        <cx:series layoutId="boxWhisker" uniqueId="{2D32CB17-93CF-47AC-835B-C68AED698F6A}">
          <cx:tx>
            <cx:txData>
              <cx:f>_xlchart.v1.18</cx:f>
              <cx:v> Interlig.Deformación.%</cx:v>
            </cx:txData>
          </cx:tx>
          <cx:dataId val="1"/>
          <cx:layoutPr>
            <cx:statistics quartileMethod="exclusive"/>
          </cx:layoutPr>
        </cx:series>
      </cx:plotAreaRegion>
      <cx:axis id="0" hidden="1">
        <cx:catScaling gapWidth="1"/>
        <cx:title>
          <cx:tx>
            <cx:txData>
              <cx:v>GRUPO</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GRUPO</a:t>
              </a:r>
            </a:p>
          </cx:txPr>
        </cx:title>
        <cx:tickLabels/>
      </cx:axis>
      <cx:axis id="1">
        <cx:valScaling/>
        <cx:title>
          <cx:tx>
            <cx:txData>
              <cx:v>%</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a:t>
              </a:r>
            </a:p>
          </cx:txPr>
        </cx:title>
        <cx:majorGridlines/>
        <cx:tickLabels/>
      </cx:axis>
    </cx:plotArea>
    <cx:legend pos="t" align="ctr" overlay="0"/>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numDim type="val">
        <cx:f>_xlchart.v1.21</cx:f>
      </cx:numDim>
    </cx:data>
    <cx:data id="1">
      <cx:numDim type="val">
        <cx:f>_xlchart.v1.23</cx:f>
      </cx:numDim>
    </cx:data>
  </cx:chartData>
  <cx:chart>
    <cx:title pos="t" align="ctr" overlay="0">
      <cx:tx>
        <cx:txData>
          <cx:v>COMPARACIÓN MÓDULO ELÁSTICO</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COMPARACIÓN MÓDULO ELÁSTICO</a:t>
          </a:r>
        </a:p>
      </cx:txPr>
    </cx:title>
    <cx:plotArea>
      <cx:plotAreaRegion>
        <cx:series layoutId="boxWhisker" uniqueId="{34353897-A4C4-4274-91C6-329DA746DF4D}">
          <cx:tx>
            <cx:txData>
              <cx:f>_xlchart.v1.20</cx:f>
              <cx:v> Ribbond.Módulo elástico.MPa</cx:v>
            </cx:txData>
          </cx:tx>
          <cx:dataId val="0"/>
          <cx:layoutPr>
            <cx:statistics quartileMethod="exclusive"/>
          </cx:layoutPr>
        </cx:series>
        <cx:series layoutId="boxWhisker" uniqueId="{F613467B-2213-48DD-8C9F-6C5F14368D5A}">
          <cx:tx>
            <cx:txData>
              <cx:f>_xlchart.v1.22</cx:f>
              <cx:v> Interlig.Módulo elástico.MPa</cx:v>
            </cx:txData>
          </cx:tx>
          <cx:dataId val="1"/>
          <cx:layoutPr>
            <cx:statistics quartileMethod="exclusive"/>
          </cx:layoutPr>
        </cx:series>
      </cx:plotAreaRegion>
      <cx:axis id="0" hidden="1">
        <cx:catScaling gapWidth="1"/>
        <cx:title>
          <cx:tx>
            <cx:txData>
              <cx:v>GRUPO</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GRUPO</a:t>
              </a:r>
            </a:p>
          </cx:txPr>
        </cx:title>
        <cx:tickLabels/>
      </cx:axis>
      <cx:axis id="1">
        <cx:valScaling/>
        <cx:title>
          <cx:tx>
            <cx:txData>
              <cx:v>MPa</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MPa</a:t>
              </a:r>
            </a:p>
          </cx:txPr>
        </cx:title>
        <cx:majorGridlines/>
        <cx:tickLabels/>
      </cx:axis>
    </cx:plotArea>
    <cx:legend pos="t" align="ctr" overlay="0"/>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numDim type="val">
        <cx:f>_xlchart.v1.29</cx:f>
      </cx:numDim>
    </cx:data>
    <cx:data id="1">
      <cx:numDim type="val">
        <cx:f>_xlchart.v1.31</cx:f>
      </cx:numDim>
    </cx:data>
  </cx:chartData>
  <cx:chart>
    <cx:title pos="t" align="ctr" overlay="0">
      <cx:tx>
        <cx:txData>
          <cx:v>COMPARACIÓN RESISTENCIA FLEXURAL</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COMPARACIÓN RESISTENCIA FLEXURAL</a:t>
          </a:r>
        </a:p>
      </cx:txPr>
    </cx:title>
    <cx:plotArea>
      <cx:plotAreaRegion>
        <cx:series layoutId="boxWhisker" uniqueId="{2D2E40ED-5EC5-49FE-A7E7-CDE1AEE40079}">
          <cx:tx>
            <cx:txData>
              <cx:f>_xlchart.v1.28</cx:f>
              <cx:v> Ribbond.Resitencia flexural.MPa</cx:v>
            </cx:txData>
          </cx:tx>
          <cx:dataId val="0"/>
          <cx:layoutPr>
            <cx:visibility meanLine="0" meanMarker="1" nonoutliers="0" outliers="1"/>
            <cx:statistics quartileMethod="exclusive"/>
          </cx:layoutPr>
        </cx:series>
        <cx:series layoutId="boxWhisker" uniqueId="{3156BBEB-6B02-49FB-88FA-4851C186789E}">
          <cx:tx>
            <cx:txData>
              <cx:f>_xlchart.v1.30</cx:f>
              <cx:v> Interlig.Resitencia flexural.MPa</cx:v>
            </cx:txData>
          </cx:tx>
          <cx:dataId val="1"/>
          <cx:layoutPr>
            <cx:visibility meanLine="0" meanMarker="1" nonoutliers="0" outliers="1"/>
            <cx:statistics quartileMethod="exclusive"/>
          </cx:layoutPr>
        </cx:series>
      </cx:plotAreaRegion>
      <cx:axis id="0" hidden="1">
        <cx:catScaling gapWidth="1"/>
        <cx:title>
          <cx:tx>
            <cx:txData>
              <cx:v>GRUPO</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GRUPO</a:t>
              </a:r>
            </a:p>
          </cx:txPr>
        </cx:title>
        <cx:tickLabels/>
      </cx:axis>
      <cx:axis id="1">
        <cx:valScaling/>
        <cx:title>
          <cx:tx>
            <cx:txData>
              <cx:v>MPa</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MPa</a:t>
              </a:r>
            </a:p>
          </cx:txPr>
        </cx:title>
        <cx:majorGridlines/>
        <cx:tickLabels/>
      </cx:axis>
    </cx:plotArea>
    <cx:legend pos="t" align="ctr" overlay="0"/>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numDim type="val">
        <cx:f>_xlchart.v1.25</cx:f>
      </cx:numDim>
    </cx:data>
    <cx:data id="1">
      <cx:numDim type="val">
        <cx:f>_xlchart.v1.27</cx:f>
      </cx:numDim>
    </cx:data>
  </cx:chartData>
  <cx:chart>
    <cx:title pos="t" align="ctr" overlay="0">
      <cx:tx>
        <cx:txData>
          <cx:v>COMPARACIÓN DEFORMACIÓN</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COMPARACIÓN DEFORMACIÓN</a:t>
          </a:r>
        </a:p>
      </cx:txPr>
    </cx:title>
    <cx:plotArea>
      <cx:plotAreaRegion>
        <cx:series layoutId="boxWhisker" uniqueId="{550109FE-624F-47CF-A1C3-E4C3946BC697}">
          <cx:tx>
            <cx:txData>
              <cx:f>_xlchart.v1.24</cx:f>
              <cx:v> Ribbond.Deformación.%</cx:v>
            </cx:txData>
          </cx:tx>
          <cx:dataId val="0"/>
          <cx:layoutPr>
            <cx:statistics quartileMethod="exclusive"/>
          </cx:layoutPr>
        </cx:series>
        <cx:series layoutId="boxWhisker" uniqueId="{2D32CB17-93CF-47AC-835B-C68AED698F6A}">
          <cx:tx>
            <cx:txData>
              <cx:f>_xlchart.v1.26</cx:f>
              <cx:v> Interlig.Deformación.%</cx:v>
            </cx:txData>
          </cx:tx>
          <cx:dataId val="1"/>
          <cx:layoutPr>
            <cx:statistics quartileMethod="exclusive"/>
          </cx:layoutPr>
        </cx:series>
      </cx:plotAreaRegion>
      <cx:axis id="0" hidden="1">
        <cx:catScaling gapWidth="1"/>
        <cx:title>
          <cx:tx>
            <cx:txData>
              <cx:v>GRUPO</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GRUPO</a:t>
              </a:r>
            </a:p>
          </cx:txPr>
        </cx:title>
        <cx:tickLabels/>
      </cx:axis>
      <cx:axis id="1">
        <cx:valScaling/>
        <cx:title>
          <cx:tx>
            <cx:txData>
              <cx:v>%</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a:t>
              </a:r>
            </a:p>
          </cx:txPr>
        </cx:title>
        <cx:majorGridlines/>
        <cx:tickLabels/>
      </cx:axis>
    </cx:plotArea>
    <cx:legend pos="t" align="ctr" overlay="0"/>
  </cx:chart>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numDim type="val">
        <cx:f>_xlchart.v1.33</cx:f>
      </cx:numDim>
    </cx:data>
    <cx:data id="1">
      <cx:numDim type="val">
        <cx:f>_xlchart.v1.35</cx:f>
      </cx:numDim>
    </cx:data>
  </cx:chartData>
  <cx:chart>
    <cx:title pos="t" align="ctr" overlay="0">
      <cx:tx>
        <cx:txData>
          <cx:v>COMPARACIÓN MÓDULO ELÁSTICO</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COMPARACIÓN MÓDULO ELÁSTICO</a:t>
          </a:r>
        </a:p>
      </cx:txPr>
    </cx:title>
    <cx:plotArea>
      <cx:plotAreaRegion>
        <cx:series layoutId="boxWhisker" uniqueId="{34353897-A4C4-4274-91C6-329DA746DF4D}">
          <cx:tx>
            <cx:txData>
              <cx:f>_xlchart.v1.32</cx:f>
              <cx:v> Ribbond.Módulo elástico.MPa</cx:v>
            </cx:txData>
          </cx:tx>
          <cx:dataId val="0"/>
          <cx:layoutPr>
            <cx:statistics quartileMethod="exclusive"/>
          </cx:layoutPr>
        </cx:series>
        <cx:series layoutId="boxWhisker" uniqueId="{F613467B-2213-48DD-8C9F-6C5F14368D5A}">
          <cx:tx>
            <cx:txData>
              <cx:f>_xlchart.v1.34</cx:f>
              <cx:v> Interlig.Módulo elástico.MPa</cx:v>
            </cx:txData>
          </cx:tx>
          <cx:dataId val="1"/>
          <cx:layoutPr>
            <cx:statistics quartileMethod="exclusive"/>
          </cx:layoutPr>
        </cx:series>
      </cx:plotAreaRegion>
      <cx:axis id="0" hidden="1">
        <cx:catScaling gapWidth="1"/>
        <cx:title>
          <cx:tx>
            <cx:txData>
              <cx:v>GRUPO</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GRUPO</a:t>
              </a:r>
            </a:p>
          </cx:txPr>
        </cx:title>
        <cx:tickLabels/>
      </cx:axis>
      <cx:axis id="1">
        <cx:valScaling/>
        <cx:title>
          <cx:tx>
            <cx:txData>
              <cx:v>MPa</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MPa</a:t>
              </a:r>
            </a:p>
          </cx:txPr>
        </cx:title>
        <cx:majorGridlines/>
        <cx:tickLabels/>
      </cx:axis>
    </cx:plotArea>
    <cx:legend pos="t" align="ctr" overlay="0"/>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microsoft.com/office/2014/relationships/chartEx" Target="../charts/chartEx3.xml"/><Relationship Id="rId2" Type="http://schemas.microsoft.com/office/2014/relationships/chartEx" Target="../charts/chartEx2.xml"/><Relationship Id="rId1" Type="http://schemas.microsoft.com/office/2014/relationships/chartEx" Target="../charts/chartEx1.xml"/></Relationships>
</file>

<file path=xl/drawings/_rels/drawing2.xml.rels><?xml version="1.0" encoding="UTF-8" standalone="yes"?>
<Relationships xmlns="http://schemas.openxmlformats.org/package/2006/relationships"><Relationship Id="rId3" Type="http://schemas.microsoft.com/office/2014/relationships/chartEx" Target="../charts/chartEx6.xml"/><Relationship Id="rId2" Type="http://schemas.microsoft.com/office/2014/relationships/chartEx" Target="../charts/chartEx5.xml"/><Relationship Id="rId1" Type="http://schemas.microsoft.com/office/2014/relationships/chartEx" Target="../charts/chartEx4.xml"/></Relationships>
</file>

<file path=xl/drawings/drawing1.xml><?xml version="1.0" encoding="utf-8"?>
<xdr:wsDr xmlns:xdr="http://schemas.openxmlformats.org/drawingml/2006/spreadsheetDrawing" xmlns:a="http://schemas.openxmlformats.org/drawingml/2006/main">
  <xdr:twoCellAnchor>
    <xdr:from>
      <xdr:col>16</xdr:col>
      <xdr:colOff>523875</xdr:colOff>
      <xdr:row>4</xdr:row>
      <xdr:rowOff>19050</xdr:rowOff>
    </xdr:from>
    <xdr:to>
      <xdr:col>22</xdr:col>
      <xdr:colOff>523875</xdr:colOff>
      <xdr:row>17</xdr:row>
      <xdr:rowOff>95250</xdr:rowOff>
    </xdr:to>
    <mc:AlternateContent xmlns:mc="http://schemas.openxmlformats.org/markup-compatibility/2006">
      <mc:Choice xmlns:cx1="http://schemas.microsoft.com/office/drawing/2015/9/8/chartex" Requires="cx1">
        <xdr:graphicFrame macro="">
          <xdr:nvGraphicFramePr>
            <xdr:cNvPr id="5" name="Gráfico 4">
              <a:extLst>
                <a:ext uri="{FF2B5EF4-FFF2-40B4-BE49-F238E27FC236}">
                  <a16:creationId xmlns:a16="http://schemas.microsoft.com/office/drawing/2014/main" id="{E50700E1-908D-471B-9427-BC20B445359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8372475" y="781050"/>
              <a:ext cx="4572000" cy="2743200"/>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23</xdr:col>
      <xdr:colOff>28575</xdr:colOff>
      <xdr:row>4</xdr:row>
      <xdr:rowOff>119063</xdr:rowOff>
    </xdr:from>
    <xdr:to>
      <xdr:col>29</xdr:col>
      <xdr:colOff>28575</xdr:colOff>
      <xdr:row>18</xdr:row>
      <xdr:rowOff>4763</xdr:rowOff>
    </xdr:to>
    <mc:AlternateContent xmlns:mc="http://schemas.openxmlformats.org/markup-compatibility/2006">
      <mc:Choice xmlns:cx1="http://schemas.microsoft.com/office/drawing/2015/9/8/chartex" Requires="cx1">
        <xdr:graphicFrame macro="">
          <xdr:nvGraphicFramePr>
            <xdr:cNvPr id="6" name="Gráfico 5">
              <a:extLst>
                <a:ext uri="{FF2B5EF4-FFF2-40B4-BE49-F238E27FC236}">
                  <a16:creationId xmlns:a16="http://schemas.microsoft.com/office/drawing/2014/main" id="{7F2A8FA8-EC3D-48C0-B4B5-35A76703773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3211175" y="881063"/>
              <a:ext cx="4572000" cy="2743200"/>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29</xdr:col>
      <xdr:colOff>533400</xdr:colOff>
      <xdr:row>5</xdr:row>
      <xdr:rowOff>157163</xdr:rowOff>
    </xdr:from>
    <xdr:to>
      <xdr:col>35</xdr:col>
      <xdr:colOff>533400</xdr:colOff>
      <xdr:row>19</xdr:row>
      <xdr:rowOff>42863</xdr:rowOff>
    </xdr:to>
    <mc:AlternateContent xmlns:mc="http://schemas.openxmlformats.org/markup-compatibility/2006">
      <mc:Choice xmlns:cx1="http://schemas.microsoft.com/office/drawing/2015/9/8/chartex" Requires="cx1">
        <xdr:graphicFrame macro="">
          <xdr:nvGraphicFramePr>
            <xdr:cNvPr id="7" name="Gráfico 6">
              <a:extLst>
                <a:ext uri="{FF2B5EF4-FFF2-40B4-BE49-F238E27FC236}">
                  <a16:creationId xmlns:a16="http://schemas.microsoft.com/office/drawing/2014/main" id="{AAD14491-4718-4E09-9E3B-39CB18B47BC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18288000" y="1109663"/>
              <a:ext cx="4572000" cy="2743200"/>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36</xdr:col>
      <xdr:colOff>523875</xdr:colOff>
      <xdr:row>4</xdr:row>
      <xdr:rowOff>180975</xdr:rowOff>
    </xdr:from>
    <xdr:to>
      <xdr:col>42</xdr:col>
      <xdr:colOff>523875</xdr:colOff>
      <xdr:row>18</xdr:row>
      <xdr:rowOff>66675</xdr:rowOff>
    </xdr:to>
    <mc:AlternateContent xmlns:mc="http://schemas.openxmlformats.org/markup-compatibility/2006">
      <mc:Choice xmlns:cx1="http://schemas.microsoft.com/office/drawing/2015/9/8/chartex" Requires="cx1">
        <xdr:graphicFrame macro="">
          <xdr:nvGraphicFramePr>
            <xdr:cNvPr id="5" name="Gráfico 4">
              <a:extLst>
                <a:ext uri="{FF2B5EF4-FFF2-40B4-BE49-F238E27FC236}">
                  <a16:creationId xmlns:a16="http://schemas.microsoft.com/office/drawing/2014/main" id="{E48F08AC-0DDC-42D0-9F17-87465857FB6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5631775" y="942975"/>
              <a:ext cx="4572000" cy="2743200"/>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43</xdr:col>
      <xdr:colOff>76200</xdr:colOff>
      <xdr:row>5</xdr:row>
      <xdr:rowOff>52388</xdr:rowOff>
    </xdr:from>
    <xdr:to>
      <xdr:col>49</xdr:col>
      <xdr:colOff>76200</xdr:colOff>
      <xdr:row>18</xdr:row>
      <xdr:rowOff>128588</xdr:rowOff>
    </xdr:to>
    <mc:AlternateContent xmlns:mc="http://schemas.openxmlformats.org/markup-compatibility/2006">
      <mc:Choice xmlns:cx1="http://schemas.microsoft.com/office/drawing/2015/9/8/chartex" Requires="cx1">
        <xdr:graphicFrame macro="">
          <xdr:nvGraphicFramePr>
            <xdr:cNvPr id="6" name="Gráfico 5">
              <a:extLst>
                <a:ext uri="{FF2B5EF4-FFF2-40B4-BE49-F238E27FC236}">
                  <a16:creationId xmlns:a16="http://schemas.microsoft.com/office/drawing/2014/main" id="{CEFFCC54-30E4-4576-BC2A-93C6A05B3C8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30518100" y="1004888"/>
              <a:ext cx="4572000" cy="2743200"/>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50</xdr:col>
      <xdr:colOff>257175</xdr:colOff>
      <xdr:row>5</xdr:row>
      <xdr:rowOff>52388</xdr:rowOff>
    </xdr:from>
    <xdr:to>
      <xdr:col>56</xdr:col>
      <xdr:colOff>257175</xdr:colOff>
      <xdr:row>18</xdr:row>
      <xdr:rowOff>128588</xdr:rowOff>
    </xdr:to>
    <mc:AlternateContent xmlns:mc="http://schemas.openxmlformats.org/markup-compatibility/2006">
      <mc:Choice xmlns:cx1="http://schemas.microsoft.com/office/drawing/2015/9/8/chartex" Requires="cx1">
        <xdr:graphicFrame macro="">
          <xdr:nvGraphicFramePr>
            <xdr:cNvPr id="7" name="Gráfico 6">
              <a:extLst>
                <a:ext uri="{FF2B5EF4-FFF2-40B4-BE49-F238E27FC236}">
                  <a16:creationId xmlns:a16="http://schemas.microsoft.com/office/drawing/2014/main" id="{DA9C3772-F472-419D-89CB-86F863C805B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36033075" y="1004888"/>
              <a:ext cx="4572000" cy="2743200"/>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namericana/AppData/Roaming/Microsoft/Complementos/XRealStat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ig"/>
      <sheetName val="Wilcoxon Table"/>
      <sheetName val="Mann Table"/>
      <sheetName val="Runs Table"/>
      <sheetName val="KS Table"/>
      <sheetName val="KS2 Table"/>
      <sheetName val="Lil Table"/>
      <sheetName val="AD Table"/>
      <sheetName val="AD2 Table"/>
      <sheetName val="SW Table"/>
      <sheetName val="Stud. Q Table"/>
      <sheetName val="Stud. Q Table 2"/>
      <sheetName val="Sp Rho Table"/>
      <sheetName val="Ken Tau Table"/>
      <sheetName val="Durbin Table"/>
      <sheetName val="Dunnett Table"/>
      <sheetName val="Dunnett 1"/>
      <sheetName val="Kendall Tc"/>
      <sheetName val="Kendall u"/>
      <sheetName val="Page Table"/>
      <sheetName val="Prime"/>
      <sheetName val="MSSD"/>
      <sheetName val="Dict"/>
      <sheetName val="ADict"/>
    </sheetNames>
    <definedNames>
      <definedName name="DAGOSTINO"/>
      <definedName name="DPTEST"/>
      <definedName name="IQR"/>
      <definedName name="MAD"/>
      <definedName name="MWDIST"/>
      <definedName name="RANK_SUM"/>
      <definedName name="SHAPIRO"/>
      <definedName name="SWTEST"/>
      <definedName name="T_DIST_2T"/>
      <definedName name="T_DIST_RT"/>
      <definedName name="T_INV"/>
      <definedName name="T_INV_2T"/>
      <definedName name="TiesCorrec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15025-9707-4E7E-8B1B-C220FBB76D9D}">
  <dimension ref="A4:U19"/>
  <sheetViews>
    <sheetView tabSelected="1" workbookViewId="0">
      <selection activeCell="R19" sqref="R19:U19"/>
    </sheetView>
  </sheetViews>
  <sheetFormatPr baseColWidth="10" defaultColWidth="11.42578125" defaultRowHeight="15" x14ac:dyDescent="0.25"/>
  <cols>
    <col min="6" max="6" width="16.140625" customWidth="1"/>
    <col min="7" max="7" width="8.85546875" bestFit="1" customWidth="1"/>
    <col min="8" max="8" width="3" bestFit="1" customWidth="1"/>
    <col min="9" max="9" width="7.7109375" bestFit="1" customWidth="1"/>
    <col min="10" max="10" width="9.85546875" bestFit="1" customWidth="1"/>
    <col min="11" max="11" width="9.5703125" bestFit="1" customWidth="1"/>
    <col min="12" max="12" width="11.7109375" customWidth="1"/>
    <col min="13" max="13" width="11" bestFit="1" customWidth="1"/>
    <col min="14" max="14" width="6.5703125" bestFit="1" customWidth="1"/>
    <col min="15" max="15" width="8.7109375" customWidth="1"/>
  </cols>
  <sheetData>
    <row r="4" spans="1:16" x14ac:dyDescent="0.25">
      <c r="A4" t="s">
        <v>146</v>
      </c>
      <c r="C4" t="s">
        <v>147</v>
      </c>
    </row>
    <row r="5" spans="1:16" x14ac:dyDescent="0.25">
      <c r="A5" t="s">
        <v>148</v>
      </c>
      <c r="C5" t="s">
        <v>149</v>
      </c>
    </row>
    <row r="6" spans="1:16" ht="30" x14ac:dyDescent="0.25">
      <c r="A6" t="s">
        <v>150</v>
      </c>
      <c r="C6" t="s">
        <v>151</v>
      </c>
      <c r="F6" s="17"/>
      <c r="G6" s="18"/>
      <c r="H6" s="19" t="s">
        <v>106</v>
      </c>
      <c r="I6" s="19" t="s">
        <v>89</v>
      </c>
      <c r="J6" s="19" t="s">
        <v>90</v>
      </c>
      <c r="K6" s="19" t="s">
        <v>91</v>
      </c>
      <c r="L6" s="19" t="s">
        <v>92</v>
      </c>
      <c r="M6" s="19" t="s">
        <v>93</v>
      </c>
      <c r="N6" s="19" t="s">
        <v>95</v>
      </c>
      <c r="O6" s="19" t="s">
        <v>107</v>
      </c>
      <c r="P6" s="19" t="s">
        <v>145</v>
      </c>
    </row>
    <row r="7" spans="1:16" x14ac:dyDescent="0.25">
      <c r="A7" t="s">
        <v>152</v>
      </c>
      <c r="C7" t="s">
        <v>153</v>
      </c>
      <c r="F7" s="15" t="s">
        <v>103</v>
      </c>
      <c r="G7" s="3" t="s">
        <v>81</v>
      </c>
      <c r="H7" s="3">
        <v>23</v>
      </c>
      <c r="I7" s="20">
        <v>61.617989565217407</v>
      </c>
      <c r="J7" s="20">
        <v>2.978982741992473</v>
      </c>
      <c r="K7" s="20">
        <v>63.971400000000003</v>
      </c>
      <c r="L7" s="20">
        <v>79.400999999999996</v>
      </c>
      <c r="M7" s="20">
        <v>8.9028600000000004</v>
      </c>
      <c r="N7" s="20">
        <v>11.569050000000004</v>
      </c>
      <c r="O7" s="21">
        <v>2.4330588569387857E-4</v>
      </c>
      <c r="P7" s="36">
        <v>0.93066308192254521</v>
      </c>
    </row>
    <row r="8" spans="1:16" x14ac:dyDescent="0.25">
      <c r="A8" t="s">
        <v>154</v>
      </c>
      <c r="C8" t="s">
        <v>155</v>
      </c>
      <c r="F8" s="39"/>
      <c r="G8" s="40" t="s">
        <v>82</v>
      </c>
      <c r="H8" s="40">
        <v>23</v>
      </c>
      <c r="I8" s="41">
        <v>61.810113043478275</v>
      </c>
      <c r="J8" s="41">
        <v>3.1915983953569658</v>
      </c>
      <c r="K8" s="41">
        <v>64.114900000000006</v>
      </c>
      <c r="L8" s="41">
        <v>82.265600000000006</v>
      </c>
      <c r="M8" s="41">
        <v>11.104900000000001</v>
      </c>
      <c r="N8" s="41">
        <v>18.948549999999997</v>
      </c>
      <c r="O8" s="42">
        <v>7.8790623379703106E-3</v>
      </c>
      <c r="P8" s="37"/>
    </row>
    <row r="9" spans="1:16" x14ac:dyDescent="0.25">
      <c r="A9" t="s">
        <v>156</v>
      </c>
      <c r="F9" s="16" t="s">
        <v>104</v>
      </c>
      <c r="G9" s="3" t="s">
        <v>81</v>
      </c>
      <c r="H9" s="3">
        <v>23</v>
      </c>
      <c r="I9" s="20">
        <v>4.4722421739130445</v>
      </c>
      <c r="J9" s="20">
        <v>0.23741715382011874</v>
      </c>
      <c r="K9" s="20">
        <v>4.6079999999999997</v>
      </c>
      <c r="L9" s="20">
        <v>6.03</v>
      </c>
      <c r="M9" s="20">
        <v>0.86328000000000005</v>
      </c>
      <c r="N9" s="20">
        <v>1.4220000000000006</v>
      </c>
      <c r="O9" s="21">
        <v>2.7295968352970545E-2</v>
      </c>
      <c r="P9" s="36">
        <v>0.71141855349712824</v>
      </c>
    </row>
    <row r="10" spans="1:16" x14ac:dyDescent="0.25">
      <c r="A10" t="s">
        <v>157</v>
      </c>
      <c r="F10" s="16"/>
      <c r="G10" s="3" t="s">
        <v>82</v>
      </c>
      <c r="H10" s="3">
        <v>23</v>
      </c>
      <c r="I10" s="20">
        <v>4.3810778260869574</v>
      </c>
      <c r="J10" s="20">
        <v>0.22208115480105275</v>
      </c>
      <c r="K10" s="20">
        <v>4.8959999999999999</v>
      </c>
      <c r="L10" s="20">
        <v>5.6159999999999997</v>
      </c>
      <c r="M10" s="20">
        <v>0.74650000000000005</v>
      </c>
      <c r="N10" s="20">
        <v>1.1429999999999998</v>
      </c>
      <c r="O10" s="21">
        <v>6.6605535120489723E-4</v>
      </c>
      <c r="P10" s="38"/>
    </row>
    <row r="11" spans="1:16" x14ac:dyDescent="0.25">
      <c r="F11" s="43" t="s">
        <v>105</v>
      </c>
      <c r="G11" s="44" t="s">
        <v>81</v>
      </c>
      <c r="H11" s="44">
        <v>23</v>
      </c>
      <c r="I11" s="45">
        <v>1488.9024347826087</v>
      </c>
      <c r="J11" s="45">
        <v>66.916732106473873</v>
      </c>
      <c r="K11" s="45">
        <v>1551.77</v>
      </c>
      <c r="L11" s="45">
        <v>1742.23</v>
      </c>
      <c r="M11" s="45">
        <v>128.816</v>
      </c>
      <c r="N11" s="45">
        <v>198.74</v>
      </c>
      <c r="O11" s="46">
        <v>5.0599945777829447E-7</v>
      </c>
      <c r="P11" s="37">
        <v>0.93066308192254521</v>
      </c>
    </row>
    <row r="12" spans="1:16" x14ac:dyDescent="0.25">
      <c r="F12" s="15"/>
      <c r="G12" s="3" t="s">
        <v>82</v>
      </c>
      <c r="H12" s="3">
        <v>23</v>
      </c>
      <c r="I12" s="20">
        <v>1470.9572608695653</v>
      </c>
      <c r="J12" s="20">
        <v>68.422281981631869</v>
      </c>
      <c r="K12" s="20">
        <v>1550.6</v>
      </c>
      <c r="L12" s="20">
        <v>1756.8</v>
      </c>
      <c r="M12" s="20">
        <v>175.12700000000001</v>
      </c>
      <c r="N12" s="20">
        <v>214.67500000000018</v>
      </c>
      <c r="O12" s="21">
        <v>6.2238190935426374E-6</v>
      </c>
      <c r="P12" s="38"/>
    </row>
    <row r="19" spans="18:21" x14ac:dyDescent="0.25">
      <c r="R19" s="47" t="s">
        <v>158</v>
      </c>
      <c r="S19" s="47"/>
      <c r="T19" s="47"/>
      <c r="U19" s="47"/>
    </row>
  </sheetData>
  <mergeCells count="4">
    <mergeCell ref="F6:G6"/>
    <mergeCell ref="F7:F8"/>
    <mergeCell ref="F9:F10"/>
    <mergeCell ref="F11:F12"/>
  </mergeCell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0F388-5461-4EB2-93EC-0217594BC6F1}">
  <dimension ref="A1:A7"/>
  <sheetViews>
    <sheetView workbookViewId="0">
      <selection activeCell="A7" sqref="A7"/>
    </sheetView>
  </sheetViews>
  <sheetFormatPr baseColWidth="10" defaultRowHeight="15" x14ac:dyDescent="0.25"/>
  <cols>
    <col min="1" max="1" width="73.42578125" customWidth="1"/>
  </cols>
  <sheetData>
    <row r="1" spans="1:1" x14ac:dyDescent="0.25">
      <c r="A1" s="4"/>
    </row>
    <row r="2" spans="1:1" x14ac:dyDescent="0.25">
      <c r="A2" s="4" t="s">
        <v>76</v>
      </c>
    </row>
    <row r="3" spans="1:1" ht="60" x14ac:dyDescent="0.25">
      <c r="A3" s="5" t="s">
        <v>77</v>
      </c>
    </row>
    <row r="4" spans="1:1" x14ac:dyDescent="0.25">
      <c r="A4" s="5"/>
    </row>
    <row r="5" spans="1:1" x14ac:dyDescent="0.25">
      <c r="A5" s="4" t="s">
        <v>78</v>
      </c>
    </row>
    <row r="6" spans="1:1" ht="60" x14ac:dyDescent="0.25">
      <c r="A6" s="5" t="s">
        <v>79</v>
      </c>
    </row>
    <row r="7" spans="1:1" ht="45" x14ac:dyDescent="0.25">
      <c r="A7" s="5" t="s">
        <v>80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79C6F-EB48-4FD9-BE3D-B09BA0A69955}">
  <dimension ref="A1:AJ115"/>
  <sheetViews>
    <sheetView topLeftCell="AN1" workbookViewId="0">
      <selection activeCell="AJ6" sqref="AJ6"/>
    </sheetView>
  </sheetViews>
  <sheetFormatPr baseColWidth="10" defaultColWidth="11.42578125" defaultRowHeight="15" x14ac:dyDescent="0.25"/>
  <cols>
    <col min="1" max="1" width="11.85546875" bestFit="1" customWidth="1"/>
    <col min="2" max="3" width="16" bestFit="1" customWidth="1"/>
    <col min="4" max="5" width="11.5703125" bestFit="1" customWidth="1"/>
    <col min="6" max="7" width="14.140625" bestFit="1" customWidth="1"/>
    <col min="26" max="26" width="16.140625" customWidth="1"/>
    <col min="27" max="28" width="8.85546875" bestFit="1" customWidth="1"/>
    <col min="29" max="29" width="7.7109375" bestFit="1" customWidth="1"/>
    <col min="30" max="30" width="9.85546875" bestFit="1" customWidth="1"/>
    <col min="31" max="31" width="9.5703125" bestFit="1" customWidth="1"/>
    <col min="32" max="32" width="7.5703125" bestFit="1" customWidth="1"/>
    <col min="33" max="33" width="11" bestFit="1" customWidth="1"/>
    <col min="34" max="34" width="6.5703125" bestFit="1" customWidth="1"/>
    <col min="35" max="35" width="8.7109375" customWidth="1"/>
  </cols>
  <sheetData>
    <row r="1" spans="1:36" x14ac:dyDescent="0.25">
      <c r="A1" t="s">
        <v>0</v>
      </c>
      <c r="B1" t="s">
        <v>1</v>
      </c>
      <c r="C1" t="s">
        <v>6</v>
      </c>
      <c r="D1" t="s">
        <v>2</v>
      </c>
      <c r="E1" t="s">
        <v>7</v>
      </c>
      <c r="F1" t="s">
        <v>3</v>
      </c>
      <c r="G1" t="s">
        <v>8</v>
      </c>
      <c r="H1" t="s">
        <v>9</v>
      </c>
      <c r="I1" t="s">
        <v>11</v>
      </c>
      <c r="J1" t="s">
        <v>12</v>
      </c>
    </row>
    <row r="2" spans="1:36" x14ac:dyDescent="0.25">
      <c r="A2" t="s">
        <v>13</v>
      </c>
      <c r="B2" t="s">
        <v>14</v>
      </c>
      <c r="C2">
        <v>1</v>
      </c>
      <c r="D2" t="s">
        <v>15</v>
      </c>
      <c r="E2" t="s">
        <v>17</v>
      </c>
      <c r="F2" t="s">
        <v>16</v>
      </c>
      <c r="G2" t="s">
        <v>17</v>
      </c>
      <c r="H2" t="s">
        <v>18</v>
      </c>
      <c r="I2">
        <v>0</v>
      </c>
      <c r="J2">
        <v>0</v>
      </c>
    </row>
    <row r="4" spans="1:36" x14ac:dyDescent="0.25">
      <c r="A4" s="1"/>
      <c r="B4" s="1" t="s">
        <v>83</v>
      </c>
      <c r="C4" s="1" t="s">
        <v>86</v>
      </c>
      <c r="D4" s="1" t="s">
        <v>84</v>
      </c>
      <c r="E4" s="1" t="s">
        <v>87</v>
      </c>
      <c r="F4" s="1" t="s">
        <v>85</v>
      </c>
      <c r="G4" s="1" t="s">
        <v>88</v>
      </c>
      <c r="H4" s="1"/>
      <c r="I4" s="1"/>
      <c r="R4" t="s">
        <v>96</v>
      </c>
    </row>
    <row r="5" spans="1:36" x14ac:dyDescent="0.25">
      <c r="A5" s="3" t="s">
        <v>32</v>
      </c>
      <c r="B5" s="22">
        <v>70.071600000000004</v>
      </c>
      <c r="C5" s="22">
        <v>53.040399999999998</v>
      </c>
      <c r="D5" s="22">
        <v>6.03</v>
      </c>
      <c r="E5" s="22">
        <v>4.2119999999999997</v>
      </c>
      <c r="F5" s="22">
        <v>1363.56</v>
      </c>
      <c r="G5" s="22">
        <v>1397.96</v>
      </c>
      <c r="H5" s="22"/>
      <c r="I5" s="22"/>
    </row>
    <row r="6" spans="1:36" ht="30" x14ac:dyDescent="0.25">
      <c r="A6" s="3" t="s">
        <v>34</v>
      </c>
      <c r="B6" s="22">
        <v>66.171899999999994</v>
      </c>
      <c r="C6" s="22">
        <v>50.058599999999998</v>
      </c>
      <c r="D6" s="22">
        <v>5.7960000000000003</v>
      </c>
      <c r="E6" s="22">
        <v>3.42</v>
      </c>
      <c r="F6" s="22">
        <v>1319.66</v>
      </c>
      <c r="G6" s="22">
        <v>1580.67</v>
      </c>
      <c r="H6" s="22"/>
      <c r="I6" s="22"/>
      <c r="K6" s="7" t="str">
        <f>B4</f>
        <v xml:space="preserve"> Ribbond.Resitencia flexural.MPa</v>
      </c>
      <c r="L6" s="7" t="str">
        <f t="shared" ref="L6:P6" si="0">C4</f>
        <v xml:space="preserve"> Interlig.Resitencia flexural.MPa</v>
      </c>
      <c r="M6" s="7" t="str">
        <f t="shared" si="0"/>
        <v xml:space="preserve"> Ribbond.Deformación.%</v>
      </c>
      <c r="N6" s="7" t="str">
        <f t="shared" si="0"/>
        <v xml:space="preserve"> Interlig.Deformación.%</v>
      </c>
      <c r="O6" s="7" t="str">
        <f t="shared" si="0"/>
        <v xml:space="preserve"> Ribbond.Módulo elástico.MPa</v>
      </c>
      <c r="P6" s="7" t="str">
        <f t="shared" si="0"/>
        <v xml:space="preserve"> Interlig.Módulo elástico.MPa</v>
      </c>
      <c r="R6" s="7"/>
      <c r="S6" s="7" t="str">
        <f>B4</f>
        <v xml:space="preserve"> Ribbond.Resitencia flexural.MPa</v>
      </c>
      <c r="T6" s="7" t="str">
        <f t="shared" ref="T6:X6" si="1">C4</f>
        <v xml:space="preserve"> Interlig.Resitencia flexural.MPa</v>
      </c>
      <c r="U6" s="7" t="str">
        <f t="shared" si="1"/>
        <v xml:space="preserve"> Ribbond.Deformación.%</v>
      </c>
      <c r="V6" s="7" t="str">
        <f t="shared" si="1"/>
        <v xml:space="preserve"> Interlig.Deformación.%</v>
      </c>
      <c r="W6" s="7" t="str">
        <f t="shared" si="1"/>
        <v xml:space="preserve"> Ribbond.Módulo elástico.MPa</v>
      </c>
      <c r="X6" s="7" t="str">
        <f t="shared" si="1"/>
        <v xml:space="preserve"> Interlig.Módulo elástico.MPa</v>
      </c>
      <c r="Z6" s="17"/>
      <c r="AA6" s="18"/>
      <c r="AB6" s="19" t="s">
        <v>106</v>
      </c>
      <c r="AC6" s="19" t="s">
        <v>89</v>
      </c>
      <c r="AD6" s="19" t="s">
        <v>90</v>
      </c>
      <c r="AE6" s="19" t="s">
        <v>91</v>
      </c>
      <c r="AF6" s="19" t="s">
        <v>92</v>
      </c>
      <c r="AG6" s="19" t="s">
        <v>93</v>
      </c>
      <c r="AH6" s="19" t="s">
        <v>95</v>
      </c>
      <c r="AI6" s="19" t="s">
        <v>107</v>
      </c>
      <c r="AJ6" s="19" t="s">
        <v>145</v>
      </c>
    </row>
    <row r="7" spans="1:36" x14ac:dyDescent="0.25">
      <c r="A7" s="3" t="s">
        <v>36</v>
      </c>
      <c r="B7" s="22">
        <v>71.601600000000005</v>
      </c>
      <c r="C7" s="22">
        <v>74.596400000000003</v>
      </c>
      <c r="D7" s="22">
        <v>5.274</v>
      </c>
      <c r="E7" s="22">
        <v>4.968</v>
      </c>
      <c r="F7" s="22">
        <v>1492.55</v>
      </c>
      <c r="G7" s="22">
        <v>1701.86</v>
      </c>
      <c r="H7" s="22"/>
      <c r="I7" s="22"/>
      <c r="K7">
        <f>AVERAGE(B5:B27)</f>
        <v>61.617989565217407</v>
      </c>
      <c r="L7">
        <f>AVERAGE(C5:C27)</f>
        <v>61.810113043478275</v>
      </c>
      <c r="M7">
        <f>AVERAGE(D5:D27)</f>
        <v>4.4722421739130445</v>
      </c>
      <c r="N7">
        <f>AVERAGE(E5:E27)</f>
        <v>4.3810778260869574</v>
      </c>
      <c r="O7">
        <f>AVERAGE(F5:F27)</f>
        <v>1488.9024347826087</v>
      </c>
      <c r="P7">
        <f>AVERAGE(G5:G27)</f>
        <v>1470.9572608695653</v>
      </c>
      <c r="R7" t="s">
        <v>97</v>
      </c>
      <c r="S7">
        <f>[1]!SHAPIRO(B5:B27)</f>
        <v>0.78749418464059195</v>
      </c>
      <c r="T7">
        <f>[1]!SHAPIRO(C5:C27)</f>
        <v>0.87466037439758371</v>
      </c>
      <c r="U7">
        <f>[1]!SHAPIRO(D5:D27)</f>
        <v>0.90161405433721498</v>
      </c>
      <c r="V7">
        <f>[1]!SHAPIRO(E5:E27)</f>
        <v>0.81474363410095307</v>
      </c>
      <c r="W7">
        <f>[1]!SHAPIRO(F5:F27)</f>
        <v>0.57670229846760113</v>
      </c>
      <c r="X7">
        <f>[1]!SHAPIRO(G5:G27)</f>
        <v>0.67216699946737879</v>
      </c>
      <c r="Z7" s="15" t="s">
        <v>103</v>
      </c>
      <c r="AA7" s="3" t="s">
        <v>81</v>
      </c>
      <c r="AB7" s="3">
        <v>23</v>
      </c>
      <c r="AC7" s="20">
        <v>61.617989565217407</v>
      </c>
      <c r="AD7" s="20">
        <v>2.978982741992473</v>
      </c>
      <c r="AE7" s="20">
        <v>63.971400000000003</v>
      </c>
      <c r="AF7" s="20">
        <v>79.400999999999996</v>
      </c>
      <c r="AG7" s="20">
        <v>8.9028600000000004</v>
      </c>
      <c r="AH7" s="20">
        <v>11.569050000000004</v>
      </c>
      <c r="AI7" s="21">
        <v>2.4330588569387857E-4</v>
      </c>
      <c r="AJ7" s="36">
        <v>0.93066308192254521</v>
      </c>
    </row>
    <row r="8" spans="1:36" x14ac:dyDescent="0.25">
      <c r="A8" s="3" t="s">
        <v>38</v>
      </c>
      <c r="B8" s="22">
        <v>63.971400000000003</v>
      </c>
      <c r="C8" s="22">
        <v>69.635400000000004</v>
      </c>
      <c r="D8" s="22">
        <v>4.6079999999999997</v>
      </c>
      <c r="E8" s="22">
        <v>4.8959999999999999</v>
      </c>
      <c r="F8" s="22">
        <v>1554.86</v>
      </c>
      <c r="G8" s="22">
        <v>1514.45</v>
      </c>
      <c r="H8" s="22"/>
      <c r="I8" s="22"/>
      <c r="K8">
        <f>_xlfn.STDEV.S(B5:B27)/SQRT(COUNT(B5:B27))</f>
        <v>2.978982741992473</v>
      </c>
      <c r="L8">
        <f>_xlfn.STDEV.S(C5:C27)/SQRT(COUNT(C5:C27))</f>
        <v>3.1915983953569658</v>
      </c>
      <c r="M8">
        <f>_xlfn.STDEV.S(D5:D27)/SQRT(COUNT(D5:D27))</f>
        <v>0.23741715382011874</v>
      </c>
      <c r="N8">
        <f>_xlfn.STDEV.S(E5:E27)/SQRT(COUNT(E5:E27))</f>
        <v>0.22208115480105275</v>
      </c>
      <c r="O8">
        <f>_xlfn.STDEV.S(F5:F27)/SQRT(COUNT(F5:F27))</f>
        <v>66.916732106473873</v>
      </c>
      <c r="P8">
        <f>_xlfn.STDEV.S(G5:G27)/SQRT(COUNT(G5:G27))</f>
        <v>68.422281981631869</v>
      </c>
      <c r="R8" t="s">
        <v>98</v>
      </c>
      <c r="S8">
        <f>[1]!SWTEST(B5:B27)</f>
        <v>2.4330588569387857E-4</v>
      </c>
      <c r="T8">
        <f>[1]!SWTEST(C5:C27)</f>
        <v>7.8790623379703106E-3</v>
      </c>
      <c r="U8">
        <f>[1]!SWTEST(D5:D27)</f>
        <v>2.7295968352970545E-2</v>
      </c>
      <c r="V8">
        <f>[1]!SWTEST(E5:E27)</f>
        <v>6.6605535120489723E-4</v>
      </c>
      <c r="W8">
        <f>[1]!SWTEST(F5:F27)</f>
        <v>5.0599945777829447E-7</v>
      </c>
      <c r="X8">
        <f>[1]!SWTEST(G5:G27)</f>
        <v>6.2238190935426374E-6</v>
      </c>
      <c r="Z8" s="39"/>
      <c r="AA8" s="40" t="s">
        <v>82</v>
      </c>
      <c r="AB8" s="40">
        <v>23</v>
      </c>
      <c r="AC8" s="41">
        <v>61.810113043478275</v>
      </c>
      <c r="AD8" s="41">
        <v>3.1915983953569658</v>
      </c>
      <c r="AE8" s="41">
        <v>64.114900000000006</v>
      </c>
      <c r="AF8" s="41">
        <v>82.265600000000006</v>
      </c>
      <c r="AG8" s="41">
        <v>11.104900000000001</v>
      </c>
      <c r="AH8" s="41">
        <v>18.948549999999997</v>
      </c>
      <c r="AI8" s="42">
        <v>7.8790623379703106E-3</v>
      </c>
      <c r="AJ8" s="37"/>
    </row>
    <row r="9" spans="1:36" x14ac:dyDescent="0.25">
      <c r="A9" s="3" t="s">
        <v>40</v>
      </c>
      <c r="B9" s="22">
        <v>61.5625</v>
      </c>
      <c r="C9" s="22">
        <v>65.364599999999996</v>
      </c>
      <c r="D9" s="22">
        <v>4.59</v>
      </c>
      <c r="E9" s="22">
        <v>5.0940000000000003</v>
      </c>
      <c r="F9" s="22">
        <v>1539.03</v>
      </c>
      <c r="G9" s="22">
        <v>1328.26</v>
      </c>
      <c r="H9" s="22"/>
      <c r="I9" s="22"/>
      <c r="K9">
        <f>MEDIAN(B5:B27)</f>
        <v>63.971400000000003</v>
      </c>
      <c r="L9">
        <f>MEDIAN(C5:C27)</f>
        <v>64.114900000000006</v>
      </c>
      <c r="M9">
        <f>MEDIAN(D5:D27)</f>
        <v>4.6079999999999997</v>
      </c>
      <c r="N9">
        <f>MEDIAN(E5:E27)</f>
        <v>4.8959999999999999</v>
      </c>
      <c r="O9">
        <f>MEDIAN(F5:F27)</f>
        <v>1551.77</v>
      </c>
      <c r="P9">
        <f>MEDIAN(G5:G27)</f>
        <v>1550.6</v>
      </c>
      <c r="R9" t="s">
        <v>99</v>
      </c>
      <c r="S9">
        <v>0.05</v>
      </c>
      <c r="T9">
        <v>0.05</v>
      </c>
      <c r="U9">
        <v>0.05</v>
      </c>
      <c r="V9">
        <v>0.05</v>
      </c>
      <c r="W9">
        <v>0.05</v>
      </c>
      <c r="X9">
        <v>0.05</v>
      </c>
      <c r="Z9" s="16" t="s">
        <v>104</v>
      </c>
      <c r="AA9" s="3" t="s">
        <v>81</v>
      </c>
      <c r="AB9" s="3">
        <v>23</v>
      </c>
      <c r="AC9" s="20">
        <v>4.4722421739130445</v>
      </c>
      <c r="AD9" s="20">
        <v>0.23741715382011874</v>
      </c>
      <c r="AE9" s="20">
        <v>4.6079999999999997</v>
      </c>
      <c r="AF9" s="20">
        <v>6.03</v>
      </c>
      <c r="AG9" s="20">
        <v>0.86328000000000005</v>
      </c>
      <c r="AH9" s="20">
        <v>1.4220000000000006</v>
      </c>
      <c r="AI9" s="21">
        <v>2.7295968352970545E-2</v>
      </c>
      <c r="AJ9" s="36">
        <v>0.71141855349712824</v>
      </c>
    </row>
    <row r="10" spans="1:36" x14ac:dyDescent="0.25">
      <c r="A10" s="3" t="s">
        <v>42</v>
      </c>
      <c r="B10" s="22">
        <v>65.117199999999997</v>
      </c>
      <c r="C10" s="22">
        <v>57.272100000000002</v>
      </c>
      <c r="D10" s="22">
        <v>5.742</v>
      </c>
      <c r="E10" s="22">
        <v>3.8879999999999999</v>
      </c>
      <c r="F10" s="22">
        <v>1344.37</v>
      </c>
      <c r="G10" s="22">
        <v>1519.55</v>
      </c>
      <c r="H10" s="22"/>
      <c r="I10" s="22"/>
      <c r="K10" t="e">
        <f>MODE(B5:B27)</f>
        <v>#N/A</v>
      </c>
      <c r="L10" t="e">
        <f>MODE(C5:C27)</f>
        <v>#N/A</v>
      </c>
      <c r="M10">
        <f>MODE(D5:D27)</f>
        <v>5.04</v>
      </c>
      <c r="N10">
        <f>MODE(E5:E27)</f>
        <v>3.42</v>
      </c>
      <c r="O10" t="e">
        <f>MODE(F5:F27)</f>
        <v>#N/A</v>
      </c>
      <c r="P10" t="e">
        <f>MODE(G5:G27)</f>
        <v>#N/A</v>
      </c>
      <c r="R10" s="6" t="s">
        <v>100</v>
      </c>
      <c r="S10" s="8" t="str">
        <f>IF(S8&lt;S9,"no","yes")</f>
        <v>no</v>
      </c>
      <c r="T10" s="8" t="str">
        <f t="shared" ref="T10:X10" si="2">IF(T8&lt;T9,"no","yes")</f>
        <v>no</v>
      </c>
      <c r="U10" s="8" t="str">
        <f t="shared" si="2"/>
        <v>no</v>
      </c>
      <c r="V10" s="8" t="str">
        <f t="shared" si="2"/>
        <v>no</v>
      </c>
      <c r="W10" s="8" t="str">
        <f t="shared" si="2"/>
        <v>no</v>
      </c>
      <c r="X10" s="8" t="str">
        <f t="shared" si="2"/>
        <v>no</v>
      </c>
      <c r="Z10" s="16"/>
      <c r="AA10" s="3" t="s">
        <v>82</v>
      </c>
      <c r="AB10" s="3">
        <v>23</v>
      </c>
      <c r="AC10" s="20">
        <v>4.3810778260869574</v>
      </c>
      <c r="AD10" s="20">
        <v>0.22208115480105275</v>
      </c>
      <c r="AE10" s="20">
        <v>4.8959999999999999</v>
      </c>
      <c r="AF10" s="20">
        <v>5.6159999999999997</v>
      </c>
      <c r="AG10" s="20">
        <v>0.74650000000000005</v>
      </c>
      <c r="AH10" s="20">
        <v>1.1429999999999998</v>
      </c>
      <c r="AI10" s="21">
        <v>6.6605535120489723E-4</v>
      </c>
      <c r="AJ10" s="38"/>
    </row>
    <row r="11" spans="1:36" x14ac:dyDescent="0.25">
      <c r="A11" s="3" t="s">
        <v>44</v>
      </c>
      <c r="B11" s="22">
        <v>60.488300000000002</v>
      </c>
      <c r="C11" s="22">
        <v>52.701799999999999</v>
      </c>
      <c r="D11" s="22">
        <v>3.8519999999999999</v>
      </c>
      <c r="E11" s="22">
        <v>3.3119999999999998</v>
      </c>
      <c r="F11" s="22">
        <v>1695.94</v>
      </c>
      <c r="G11" s="22">
        <v>1647.55</v>
      </c>
      <c r="H11" s="22"/>
      <c r="I11" s="22"/>
      <c r="K11">
        <f>_xlfn.STDEV.S(B5:B27)</f>
        <v>14.286699341452064</v>
      </c>
      <c r="L11">
        <f>_xlfn.STDEV.S(C5:C27)</f>
        <v>15.306368194207227</v>
      </c>
      <c r="M11">
        <f>_xlfn.STDEV.S(D5:D27)</f>
        <v>1.1386126704657102</v>
      </c>
      <c r="N11">
        <f>_xlfn.STDEV.S(E5:E27)</f>
        <v>1.0650638029285806</v>
      </c>
      <c r="O11">
        <f>_xlfn.STDEV.S(F5:F27)</f>
        <v>320.92137327329971</v>
      </c>
      <c r="P11">
        <f>_xlfn.STDEV.S(G5:G27)</f>
        <v>328.141736824502</v>
      </c>
      <c r="Z11" s="43" t="s">
        <v>105</v>
      </c>
      <c r="AA11" s="44" t="s">
        <v>81</v>
      </c>
      <c r="AB11" s="44">
        <v>23</v>
      </c>
      <c r="AC11" s="45">
        <v>1488.9024347826087</v>
      </c>
      <c r="AD11" s="45">
        <v>66.916732106473873</v>
      </c>
      <c r="AE11" s="45">
        <v>1551.77</v>
      </c>
      <c r="AF11" s="45">
        <v>1742.23</v>
      </c>
      <c r="AG11" s="45">
        <v>128.816</v>
      </c>
      <c r="AH11" s="45">
        <v>198.74</v>
      </c>
      <c r="AI11" s="46">
        <v>5.0599945777829447E-7</v>
      </c>
      <c r="AJ11" s="37">
        <v>0.93066308192254521</v>
      </c>
    </row>
    <row r="12" spans="1:36" x14ac:dyDescent="0.25">
      <c r="A12" s="3" t="s">
        <v>46</v>
      </c>
      <c r="B12" s="22">
        <v>59.960900000000002</v>
      </c>
      <c r="C12" s="22">
        <v>55.605499999999999</v>
      </c>
      <c r="D12" s="22">
        <v>4.0140000000000002</v>
      </c>
      <c r="E12" s="22">
        <v>4.8959999999999999</v>
      </c>
      <c r="F12" s="22">
        <v>1653.97</v>
      </c>
      <c r="G12" s="22">
        <v>1105.07</v>
      </c>
      <c r="H12" s="22"/>
      <c r="I12" s="22"/>
      <c r="K12">
        <f>_xlfn.VAR.S(B5:B27)</f>
        <v>204.10977807304681</v>
      </c>
      <c r="L12">
        <f>_xlfn.VAR.S(C5:C27)</f>
        <v>234.28490729663861</v>
      </c>
      <c r="M12">
        <f>_xlfn.VAR.S(D5:D27)</f>
        <v>1.2964388133450562</v>
      </c>
      <c r="N12">
        <f>_xlfn.VAR.S(E5:E27)</f>
        <v>1.1343609043086902</v>
      </c>
      <c r="O12">
        <f>_xlfn.VAR.S(F5:F27)</f>
        <v>102990.52782362056</v>
      </c>
      <c r="P12">
        <f>_xlfn.VAR.S(G5:G27)</f>
        <v>107676.99944620072</v>
      </c>
      <c r="R12" t="s">
        <v>101</v>
      </c>
      <c r="Z12" s="15"/>
      <c r="AA12" s="3" t="s">
        <v>82</v>
      </c>
      <c r="AB12" s="3">
        <v>23</v>
      </c>
      <c r="AC12" s="20">
        <v>1470.9572608695653</v>
      </c>
      <c r="AD12" s="20">
        <v>68.422281981631869</v>
      </c>
      <c r="AE12" s="20">
        <v>1550.6</v>
      </c>
      <c r="AF12" s="20">
        <v>1756.8</v>
      </c>
      <c r="AG12" s="20">
        <v>175.12700000000001</v>
      </c>
      <c r="AH12" s="20">
        <v>214.67500000000018</v>
      </c>
      <c r="AI12" s="21">
        <v>6.2238190935426374E-6</v>
      </c>
      <c r="AJ12" s="38"/>
    </row>
    <row r="13" spans="1:36" x14ac:dyDescent="0.25">
      <c r="A13" s="3" t="s">
        <v>48</v>
      </c>
      <c r="B13" s="22">
        <v>50.286499999999997</v>
      </c>
      <c r="C13" s="22">
        <v>70.091099999999997</v>
      </c>
      <c r="D13" s="22">
        <v>3.726</v>
      </c>
      <c r="E13" s="22">
        <v>5.0579999999999998</v>
      </c>
      <c r="F13" s="22">
        <v>1403.88</v>
      </c>
      <c r="G13" s="22">
        <v>1466.22</v>
      </c>
      <c r="H13" s="22"/>
      <c r="I13" s="22"/>
      <c r="K13">
        <f>KURT(B5:B27)</f>
        <v>8.1017444072985576</v>
      </c>
      <c r="L13">
        <f>KURT(C5:C27)</f>
        <v>4.3402897706944321</v>
      </c>
      <c r="M13">
        <f>KURT(D5:D27)</f>
        <v>3.3481398301168275</v>
      </c>
      <c r="N13">
        <f>KURT(E5:E27)</f>
        <v>5.1355921408731096</v>
      </c>
      <c r="O13">
        <f>KURT(F5:F27)</f>
        <v>15.902859223697567</v>
      </c>
      <c r="P13">
        <f>KURT(G5:G27)</f>
        <v>11.325111516371555</v>
      </c>
    </row>
    <row r="14" spans="1:36" x14ac:dyDescent="0.25">
      <c r="A14" s="3" t="s">
        <v>50</v>
      </c>
      <c r="B14" s="22">
        <v>62.1419</v>
      </c>
      <c r="C14" s="22">
        <v>53.684899999999999</v>
      </c>
      <c r="D14" s="22">
        <v>4.6260000000000003</v>
      </c>
      <c r="E14" s="22">
        <v>3.42</v>
      </c>
      <c r="F14" s="22">
        <v>1621.57</v>
      </c>
      <c r="G14" s="22">
        <v>1657.33</v>
      </c>
      <c r="H14" s="22"/>
      <c r="I14" s="22"/>
      <c r="K14">
        <f>SKEW(B5:B27)</f>
        <v>-2.3847323671028025</v>
      </c>
      <c r="L14">
        <f>SKEW(C5:C27)</f>
        <v>-1.5760088596459731</v>
      </c>
      <c r="M14">
        <f>SKEW(D5:D27)</f>
        <v>-1.2959872777195329</v>
      </c>
      <c r="N14">
        <f>SKEW(E5:E27)</f>
        <v>-1.9394724136261845</v>
      </c>
      <c r="O14">
        <f>SKEW(F5:F27)</f>
        <v>-3.7063386578958437</v>
      </c>
      <c r="P14">
        <f>SKEW(G5:G27)</f>
        <v>-3.0507068930945853</v>
      </c>
      <c r="R14" s="9" t="s">
        <v>102</v>
      </c>
      <c r="S14" s="9">
        <f>[1]!DAGOSTINO(B5:B27)</f>
        <v>28.16465537688903</v>
      </c>
      <c r="T14" s="9">
        <f>[1]!DAGOSTINO(C5:C27)</f>
        <v>16.057843232529812</v>
      </c>
      <c r="U14" s="9">
        <f>[1]!DAGOSTINO(D5:D27)</f>
        <v>12.076678083146678</v>
      </c>
      <c r="V14" s="9">
        <f>[1]!DAGOSTINO(E5:E27)</f>
        <v>20.376004041389457</v>
      </c>
      <c r="W14" s="9">
        <f>[1]!DAGOSTINO(F5:F27)</f>
        <v>45.893697722836308</v>
      </c>
      <c r="X14" s="9">
        <f>[1]!DAGOSTINO(G5:G27)</f>
        <v>37.045373629437151</v>
      </c>
    </row>
    <row r="15" spans="1:36" x14ac:dyDescent="0.25">
      <c r="A15" s="3" t="s">
        <v>52</v>
      </c>
      <c r="B15" s="22">
        <v>43.7044</v>
      </c>
      <c r="C15" s="22">
        <v>69.928399999999996</v>
      </c>
      <c r="D15" s="22">
        <v>3.2759999999999998</v>
      </c>
      <c r="E15" s="22">
        <v>4.968</v>
      </c>
      <c r="F15" s="22">
        <v>1419.43</v>
      </c>
      <c r="G15" s="22">
        <v>1558.16</v>
      </c>
      <c r="H15" s="22"/>
      <c r="I15" s="22"/>
      <c r="K15">
        <f>K16-K17</f>
        <v>70.498139999999992</v>
      </c>
      <c r="L15">
        <f t="shared" ref="L15:P15" si="3">L16-L17</f>
        <v>71.160700000000006</v>
      </c>
      <c r="M15">
        <f t="shared" si="3"/>
        <v>5.1667199999999998</v>
      </c>
      <c r="N15">
        <f t="shared" si="3"/>
        <v>4.8694999999999995</v>
      </c>
      <c r="O15">
        <f t="shared" si="3"/>
        <v>1613.414</v>
      </c>
      <c r="P15">
        <f t="shared" si="3"/>
        <v>1581.673</v>
      </c>
      <c r="R15" t="s">
        <v>98</v>
      </c>
      <c r="S15">
        <f>[1]!DPTEST(B5:B27)</f>
        <v>7.6581310248791112E-7</v>
      </c>
      <c r="T15">
        <f>[1]!DPTEST(C5:C27)</f>
        <v>3.2589946417382887E-4</v>
      </c>
      <c r="U15">
        <f>[1]!DPTEST(D5:D27)</f>
        <v>2.3855178708845903E-3</v>
      </c>
      <c r="V15">
        <f>[1]!DPTEST(E5:E27)</f>
        <v>3.7618973491970742E-5</v>
      </c>
      <c r="W15">
        <f>[1]!DPTEST(F5:F27)</f>
        <v>1.0822065465987407E-10</v>
      </c>
      <c r="X15">
        <f>[1]!DPTEST(G5:G27)</f>
        <v>9.0302406663411716E-9</v>
      </c>
    </row>
    <row r="16" spans="1:36" x14ac:dyDescent="0.25">
      <c r="A16" s="3" t="s">
        <v>54</v>
      </c>
      <c r="B16" s="22">
        <v>70.097700000000003</v>
      </c>
      <c r="C16" s="22">
        <v>77.168000000000006</v>
      </c>
      <c r="D16" s="22">
        <v>5.04</v>
      </c>
      <c r="E16" s="22">
        <v>5.6159999999999997</v>
      </c>
      <c r="F16" s="22">
        <v>1551.77</v>
      </c>
      <c r="G16" s="22">
        <v>1673.29</v>
      </c>
      <c r="H16" s="22"/>
      <c r="I16" s="22"/>
      <c r="K16">
        <f>MAX(B5:B27)</f>
        <v>79.400999999999996</v>
      </c>
      <c r="L16">
        <f>MAX(C5:C27)</f>
        <v>82.265600000000006</v>
      </c>
      <c r="M16">
        <f>MAX(D5:D27)</f>
        <v>6.03</v>
      </c>
      <c r="N16">
        <f>MAX(E5:E27)</f>
        <v>5.6159999999999997</v>
      </c>
      <c r="O16">
        <f>MAX(F5:F27)</f>
        <v>1742.23</v>
      </c>
      <c r="P16">
        <f>MAX(G5:G27)</f>
        <v>1756.8</v>
      </c>
      <c r="R16" t="s">
        <v>99</v>
      </c>
      <c r="S16">
        <v>0.05</v>
      </c>
      <c r="T16">
        <v>0.05</v>
      </c>
      <c r="U16">
        <v>0.05</v>
      </c>
      <c r="V16">
        <v>0.05</v>
      </c>
      <c r="W16">
        <v>0.05</v>
      </c>
      <c r="X16">
        <v>0.05</v>
      </c>
    </row>
    <row r="17" spans="1:24" x14ac:dyDescent="0.25">
      <c r="A17" s="3" t="s">
        <v>56</v>
      </c>
      <c r="B17" s="22">
        <v>71.282600000000002</v>
      </c>
      <c r="C17" s="22">
        <v>49.140599999999999</v>
      </c>
      <c r="D17" s="22">
        <v>5.1479999999999997</v>
      </c>
      <c r="E17" s="22">
        <v>3.2040000000000002</v>
      </c>
      <c r="F17" s="22">
        <v>1596.5</v>
      </c>
      <c r="G17" s="22">
        <v>1638.42</v>
      </c>
      <c r="H17" s="22"/>
      <c r="I17" s="22"/>
      <c r="K17">
        <f>MIN(B5:B27)</f>
        <v>8.9028600000000004</v>
      </c>
      <c r="L17">
        <f>MIN(C5:C27)</f>
        <v>11.104900000000001</v>
      </c>
      <c r="M17">
        <f>MIN(D5:D27)</f>
        <v>0.86328000000000005</v>
      </c>
      <c r="N17">
        <f>MIN(E5:E27)</f>
        <v>0.74650000000000005</v>
      </c>
      <c r="O17">
        <f>MIN(F5:F27)</f>
        <v>128.816</v>
      </c>
      <c r="P17">
        <f>MIN(G5:G27)</f>
        <v>175.12700000000001</v>
      </c>
      <c r="R17" s="6" t="s">
        <v>100</v>
      </c>
      <c r="S17" s="8" t="str">
        <f>IF(S15&lt;S16,"no","yes")</f>
        <v>no</v>
      </c>
      <c r="T17" s="8" t="str">
        <f t="shared" ref="T17:X17" si="4">IF(T15&lt;T16,"no","yes")</f>
        <v>no</v>
      </c>
      <c r="U17" s="8" t="str">
        <f t="shared" si="4"/>
        <v>no</v>
      </c>
      <c r="V17" s="8" t="str">
        <f t="shared" si="4"/>
        <v>no</v>
      </c>
      <c r="W17" s="8" t="str">
        <f t="shared" si="4"/>
        <v>no</v>
      </c>
      <c r="X17" s="8" t="str">
        <f t="shared" si="4"/>
        <v>no</v>
      </c>
    </row>
    <row r="18" spans="1:24" x14ac:dyDescent="0.25">
      <c r="A18" s="3" t="s">
        <v>58</v>
      </c>
      <c r="B18" s="22">
        <v>55.559899999999999</v>
      </c>
      <c r="C18" s="22">
        <v>79.023399999999995</v>
      </c>
      <c r="D18" s="22">
        <v>3.7080000000000002</v>
      </c>
      <c r="E18" s="22">
        <v>4.95</v>
      </c>
      <c r="F18" s="22">
        <v>1608.78</v>
      </c>
      <c r="G18" s="22">
        <v>1756.8</v>
      </c>
      <c r="H18" s="22"/>
      <c r="I18" s="22"/>
      <c r="K18">
        <f>SUM(B5:B27)</f>
        <v>1417.2137600000003</v>
      </c>
      <c r="L18">
        <f>SUM(C5:C27)</f>
        <v>1421.6326000000004</v>
      </c>
      <c r="M18">
        <f>SUM(D5:D27)</f>
        <v>102.86157000000001</v>
      </c>
      <c r="N18">
        <f>SUM(E5:E27)</f>
        <v>100.76479000000002</v>
      </c>
      <c r="O18">
        <f>SUM(F5:F27)</f>
        <v>34244.756000000001</v>
      </c>
      <c r="P18">
        <f>SUM(G5:G27)</f>
        <v>33832.017</v>
      </c>
    </row>
    <row r="19" spans="1:24" x14ac:dyDescent="0.25">
      <c r="A19" s="3" t="s">
        <v>60</v>
      </c>
      <c r="B19" s="22">
        <v>53.717399999999998</v>
      </c>
      <c r="C19" s="22">
        <v>68.828100000000006</v>
      </c>
      <c r="D19" s="22">
        <v>3.5819999999999999</v>
      </c>
      <c r="E19" s="22">
        <v>5.0759999999999996</v>
      </c>
      <c r="F19" s="22">
        <v>1707.94</v>
      </c>
      <c r="G19" s="22">
        <v>1469.56</v>
      </c>
      <c r="H19" s="22"/>
      <c r="I19" s="22"/>
      <c r="K19">
        <f>COUNT(B5:B27)</f>
        <v>23</v>
      </c>
      <c r="L19">
        <f>COUNT(C5:C27)</f>
        <v>23</v>
      </c>
      <c r="M19">
        <f>COUNT(D5:D27)</f>
        <v>23</v>
      </c>
      <c r="N19">
        <f>COUNT(E5:E27)</f>
        <v>23</v>
      </c>
      <c r="O19">
        <f>COUNT(F5:F27)</f>
        <v>23</v>
      </c>
      <c r="P19">
        <f>COUNT(G5:G27)</f>
        <v>23</v>
      </c>
    </row>
    <row r="20" spans="1:24" x14ac:dyDescent="0.25">
      <c r="A20" s="3" t="s">
        <v>62</v>
      </c>
      <c r="B20" s="22">
        <v>69.706999999999994</v>
      </c>
      <c r="C20" s="22">
        <v>82.265600000000006</v>
      </c>
      <c r="D20" s="22">
        <v>4.2119999999999997</v>
      </c>
      <c r="E20" s="22">
        <v>5.31</v>
      </c>
      <c r="F20" s="22">
        <v>1742.23</v>
      </c>
      <c r="G20" s="22">
        <v>1749.63</v>
      </c>
      <c r="H20" s="22"/>
      <c r="I20" s="22"/>
      <c r="K20">
        <f>GEOMEAN(B5:B27)</f>
        <v>58.23021999440337</v>
      </c>
      <c r="L20">
        <f>GEOMEAN(C5:C27)</f>
        <v>58.618834175924228</v>
      </c>
      <c r="M20">
        <f>GEOMEAN(D5:D27)</f>
        <v>4.2438754258049567</v>
      </c>
      <c r="N20">
        <f>GEOMEAN(E5:E27)</f>
        <v>4.1493816515387119</v>
      </c>
      <c r="O20">
        <f>GEOMEAN(F5:F27)</f>
        <v>1387.4658104096218</v>
      </c>
      <c r="P20">
        <f>GEOMEAN(G5:G27)</f>
        <v>1383.5911550160531</v>
      </c>
    </row>
    <row r="21" spans="1:24" x14ac:dyDescent="0.25">
      <c r="A21" s="3" t="s">
        <v>64</v>
      </c>
      <c r="B21" s="22">
        <v>57.070300000000003</v>
      </c>
      <c r="C21" s="22">
        <v>76.425799999999995</v>
      </c>
      <c r="D21" s="22">
        <v>3.51</v>
      </c>
      <c r="E21" s="22">
        <v>5.4180000000000001</v>
      </c>
      <c r="F21" s="22">
        <v>1729.9</v>
      </c>
      <c r="G21" s="22">
        <v>1598.96</v>
      </c>
      <c r="H21" s="22"/>
      <c r="I21" s="22"/>
      <c r="K21">
        <f>HARMEAN(B5:B27)</f>
        <v>49.707406490434991</v>
      </c>
      <c r="L21">
        <f>HARMEAN(C5:C27)</f>
        <v>51.913958424876249</v>
      </c>
      <c r="M21">
        <f>HARMEAN(D5:D27)</f>
        <v>3.7956254866170127</v>
      </c>
      <c r="N21">
        <f>HARMEAN(E5:E27)</f>
        <v>3.6416274171558674</v>
      </c>
      <c r="O21">
        <f>HARMEAN(F5:F27)</f>
        <v>1043.4554270424389</v>
      </c>
      <c r="P21">
        <f>HARMEAN(G5:G27)</f>
        <v>1133.5720537160505</v>
      </c>
    </row>
    <row r="22" spans="1:24" x14ac:dyDescent="0.25">
      <c r="A22" s="3" t="s">
        <v>66</v>
      </c>
      <c r="B22" s="22">
        <v>62.207000000000001</v>
      </c>
      <c r="C22" s="22">
        <v>61.549500000000002</v>
      </c>
      <c r="D22" s="22">
        <v>4.3019999999999996</v>
      </c>
      <c r="E22" s="22">
        <v>4.5540000000000003</v>
      </c>
      <c r="F22" s="22">
        <v>1510.74</v>
      </c>
      <c r="G22" s="22">
        <v>1401.56</v>
      </c>
      <c r="H22" s="22"/>
      <c r="I22" s="22"/>
      <c r="K22">
        <f>AVEDEV(B5:B27)</f>
        <v>8.9833779206049122</v>
      </c>
      <c r="L22">
        <f>AVEDEV(C5:C27)</f>
        <v>11.32622986767486</v>
      </c>
      <c r="M22">
        <f>AVEDEV(D5:D27)</f>
        <v>0.84149058601134208</v>
      </c>
      <c r="N22">
        <f>AVEDEV(E5:E27)</f>
        <v>0.78209761814744794</v>
      </c>
      <c r="O22">
        <f>AVEDEV(F5:F27)</f>
        <v>172.52878638941399</v>
      </c>
      <c r="P22">
        <f>AVEDEV(G5:G27)</f>
        <v>196.72618147448014</v>
      </c>
    </row>
    <row r="23" spans="1:24" x14ac:dyDescent="0.25">
      <c r="A23" s="3" t="s">
        <v>68</v>
      </c>
      <c r="B23" s="22">
        <v>72.584599999999995</v>
      </c>
      <c r="C23" s="22">
        <v>59.192700000000002</v>
      </c>
      <c r="D23" s="22">
        <v>5.04</v>
      </c>
      <c r="E23" s="22">
        <v>3.8519999999999999</v>
      </c>
      <c r="F23" s="22">
        <v>1653.86</v>
      </c>
      <c r="G23" s="22">
        <v>1649.58</v>
      </c>
      <c r="H23" s="22"/>
      <c r="I23" s="22"/>
      <c r="K23">
        <f>[1]!MAD(B5:B27)</f>
        <v>6.1263000000000005</v>
      </c>
      <c r="L23">
        <f>[1]!MAD(C5:C27)</f>
        <v>10.430000000000007</v>
      </c>
      <c r="M23">
        <f>[1]!MAD(D5:D27)</f>
        <v>0.75599999999999978</v>
      </c>
      <c r="N23">
        <f>[1]!MAD(E5:E27)</f>
        <v>0.4139999999999997</v>
      </c>
      <c r="O23">
        <f>[1]!MAD(F5:F27)</f>
        <v>102.08999999999992</v>
      </c>
      <c r="P23">
        <f>[1]!MAD(G5:G27)</f>
        <v>98.980000000000018</v>
      </c>
    </row>
    <row r="24" spans="1:24" x14ac:dyDescent="0.25">
      <c r="A24" s="3" t="s">
        <v>70</v>
      </c>
      <c r="B24" s="22">
        <v>79.400999999999996</v>
      </c>
      <c r="C24" s="22">
        <v>74.531300000000002</v>
      </c>
      <c r="D24" s="22">
        <v>5.3639999999999999</v>
      </c>
      <c r="E24" s="22">
        <v>4.9320000000000004</v>
      </c>
      <c r="F24" s="22">
        <v>1596.16</v>
      </c>
      <c r="G24" s="22">
        <v>1550.6</v>
      </c>
      <c r="H24" s="22"/>
      <c r="I24" s="22"/>
      <c r="K24" s="6">
        <f>[1]!IQR(B5:B27,FALSE)</f>
        <v>11.569050000000004</v>
      </c>
      <c r="L24" s="6">
        <f>[1]!IQR(C5:C27,FALSE)</f>
        <v>18.948549999999997</v>
      </c>
      <c r="M24" s="6">
        <f>[1]!IQR(D5:D27,FALSE)</f>
        <v>1.4220000000000006</v>
      </c>
      <c r="N24" s="6">
        <f>[1]!IQR(E5:E27,FALSE)</f>
        <v>1.1429999999999998</v>
      </c>
      <c r="O24" s="6">
        <f>[1]!IQR(F5:F27,FALSE)</f>
        <v>198.74</v>
      </c>
      <c r="P24" s="6">
        <f>[1]!IQR(G5:G27,FALSE)</f>
        <v>214.67500000000018</v>
      </c>
    </row>
    <row r="25" spans="1:24" x14ac:dyDescent="0.25">
      <c r="A25" s="3" t="s">
        <v>72</v>
      </c>
      <c r="B25" s="22">
        <v>77.591099999999997</v>
      </c>
      <c r="C25" s="22">
        <v>46.308599999999998</v>
      </c>
      <c r="D25" s="22">
        <v>5.9219999999999997</v>
      </c>
      <c r="E25" s="22">
        <v>4.4279999999999999</v>
      </c>
      <c r="F25" s="22">
        <v>1458.52</v>
      </c>
      <c r="G25" s="22">
        <v>1161.55</v>
      </c>
      <c r="H25" s="22"/>
      <c r="I25" s="22"/>
    </row>
    <row r="26" spans="1:24" x14ac:dyDescent="0.25">
      <c r="A26" s="3" t="s">
        <v>74</v>
      </c>
      <c r="B26" s="22">
        <v>64.014099999999999</v>
      </c>
      <c r="C26" s="22">
        <v>64.114900000000006</v>
      </c>
      <c r="D26" s="22">
        <v>4.6362899999999998</v>
      </c>
      <c r="E26" s="22">
        <v>4.5462899999999999</v>
      </c>
      <c r="F26" s="22">
        <v>1550.72</v>
      </c>
      <c r="G26" s="22">
        <v>1529.86</v>
      </c>
      <c r="H26" s="22"/>
      <c r="I26" s="22"/>
    </row>
    <row r="27" spans="1:24" x14ac:dyDescent="0.25">
      <c r="A27" s="3" t="s">
        <v>75</v>
      </c>
      <c r="B27" s="22">
        <v>8.9028600000000004</v>
      </c>
      <c r="C27" s="22">
        <v>11.104900000000001</v>
      </c>
      <c r="D27" s="22">
        <v>0.86328000000000005</v>
      </c>
      <c r="E27" s="22">
        <v>0.74650000000000005</v>
      </c>
      <c r="F27" s="22">
        <v>128.816</v>
      </c>
      <c r="G27" s="22">
        <v>175.12700000000001</v>
      </c>
      <c r="H27" s="22"/>
      <c r="I27" s="22"/>
      <c r="K27" t="s">
        <v>83</v>
      </c>
      <c r="L27" t="s">
        <v>86</v>
      </c>
      <c r="M27" t="s">
        <v>84</v>
      </c>
      <c r="N27" t="s">
        <v>87</v>
      </c>
      <c r="O27" t="s">
        <v>85</v>
      </c>
      <c r="P27" t="s">
        <v>88</v>
      </c>
    </row>
    <row r="28" spans="1:24" x14ac:dyDescent="0.25">
      <c r="I28">
        <v>61.617989565217407</v>
      </c>
      <c r="J28">
        <v>61.810113043478275</v>
      </c>
      <c r="K28">
        <v>4.4722421739130445</v>
      </c>
      <c r="L28">
        <v>4.3810778260869574</v>
      </c>
      <c r="M28">
        <v>1488.9024347826087</v>
      </c>
      <c r="N28">
        <v>1470.9572608695653</v>
      </c>
    </row>
    <row r="29" spans="1:24" x14ac:dyDescent="0.25">
      <c r="I29">
        <v>2.978982741992473</v>
      </c>
      <c r="J29">
        <v>3.1915983953569658</v>
      </c>
      <c r="K29">
        <v>0.23741715382011874</v>
      </c>
      <c r="L29">
        <v>0.22208115480105275</v>
      </c>
      <c r="M29">
        <v>66.916732106473873</v>
      </c>
      <c r="N29">
        <v>68.422281981631869</v>
      </c>
    </row>
    <row r="30" spans="1:24" x14ac:dyDescent="0.25">
      <c r="I30">
        <v>63.971400000000003</v>
      </c>
      <c r="J30">
        <v>64.114900000000006</v>
      </c>
      <c r="K30">
        <v>4.6079999999999997</v>
      </c>
      <c r="L30">
        <v>4.8959999999999999</v>
      </c>
      <c r="M30">
        <v>1551.77</v>
      </c>
      <c r="N30">
        <v>1550.6</v>
      </c>
    </row>
    <row r="31" spans="1:24" x14ac:dyDescent="0.25">
      <c r="I31">
        <v>79.400999999999996</v>
      </c>
      <c r="J31">
        <v>82.265600000000006</v>
      </c>
      <c r="K31">
        <v>6.03</v>
      </c>
      <c r="L31">
        <v>5.6159999999999997</v>
      </c>
      <c r="M31">
        <v>1742.23</v>
      </c>
      <c r="N31">
        <v>1756.8</v>
      </c>
    </row>
    <row r="32" spans="1:24" x14ac:dyDescent="0.25">
      <c r="I32">
        <v>8.9028600000000004</v>
      </c>
      <c r="J32">
        <v>11.104900000000001</v>
      </c>
      <c r="K32">
        <v>0.86328000000000005</v>
      </c>
      <c r="L32">
        <v>0.74650000000000005</v>
      </c>
      <c r="M32">
        <v>128.816</v>
      </c>
      <c r="N32">
        <v>175.12700000000001</v>
      </c>
    </row>
    <row r="33" spans="7:16" x14ac:dyDescent="0.25">
      <c r="I33">
        <v>23</v>
      </c>
      <c r="J33">
        <v>23</v>
      </c>
      <c r="K33">
        <v>23</v>
      </c>
      <c r="L33">
        <v>23</v>
      </c>
      <c r="M33">
        <v>23</v>
      </c>
      <c r="N33">
        <v>23</v>
      </c>
    </row>
    <row r="34" spans="7:16" x14ac:dyDescent="0.25">
      <c r="I34">
        <v>11.569050000000004</v>
      </c>
      <c r="J34">
        <v>18.948549999999997</v>
      </c>
      <c r="K34">
        <v>1.4220000000000006</v>
      </c>
      <c r="L34">
        <v>1.1429999999999998</v>
      </c>
      <c r="M34">
        <v>198.74</v>
      </c>
      <c r="N34">
        <v>214.67500000000018</v>
      </c>
    </row>
    <row r="35" spans="7:16" x14ac:dyDescent="0.25">
      <c r="I35">
        <v>2.4330588569387857E-4</v>
      </c>
      <c r="J35">
        <v>7.8790623379703106E-3</v>
      </c>
      <c r="K35">
        <v>2.7295968352970545E-2</v>
      </c>
      <c r="L35">
        <v>6.6605535120489723E-4</v>
      </c>
      <c r="M35">
        <v>5.0599945777829447E-7</v>
      </c>
      <c r="N35">
        <v>6.2238190935426374E-6</v>
      </c>
    </row>
    <row r="38" spans="7:16" x14ac:dyDescent="0.25">
      <c r="I38" t="s">
        <v>106</v>
      </c>
      <c r="J38" t="s">
        <v>89</v>
      </c>
      <c r="K38" t="s">
        <v>90</v>
      </c>
      <c r="L38" t="s">
        <v>91</v>
      </c>
      <c r="M38" t="s">
        <v>92</v>
      </c>
      <c r="N38" t="s">
        <v>93</v>
      </c>
      <c r="O38" t="s">
        <v>95</v>
      </c>
      <c r="P38" t="s">
        <v>98</v>
      </c>
    </row>
    <row r="39" spans="7:16" x14ac:dyDescent="0.25">
      <c r="G39" s="10" t="s">
        <v>103</v>
      </c>
      <c r="H39" t="s">
        <v>81</v>
      </c>
      <c r="I39">
        <v>23</v>
      </c>
      <c r="J39">
        <v>61.617989565217407</v>
      </c>
      <c r="K39">
        <v>2.978982741992473</v>
      </c>
      <c r="L39">
        <v>63.971400000000003</v>
      </c>
      <c r="M39">
        <v>79.400999999999996</v>
      </c>
      <c r="N39">
        <v>8.9028600000000004</v>
      </c>
      <c r="O39">
        <v>11.569050000000004</v>
      </c>
      <c r="P39">
        <v>2.4330588569387857E-4</v>
      </c>
    </row>
    <row r="40" spans="7:16" x14ac:dyDescent="0.25">
      <c r="G40" s="11"/>
      <c r="H40" t="s">
        <v>82</v>
      </c>
      <c r="I40">
        <v>23</v>
      </c>
      <c r="J40">
        <v>61.810113043478275</v>
      </c>
      <c r="K40">
        <v>3.1915983953569658</v>
      </c>
      <c r="L40">
        <v>64.114900000000006</v>
      </c>
      <c r="M40">
        <v>82.265600000000006</v>
      </c>
      <c r="N40">
        <v>11.104900000000001</v>
      </c>
      <c r="O40">
        <v>18.948549999999997</v>
      </c>
      <c r="P40">
        <v>7.8790623379703106E-3</v>
      </c>
    </row>
    <row r="41" spans="7:16" x14ac:dyDescent="0.25">
      <c r="G41" s="12" t="s">
        <v>104</v>
      </c>
      <c r="H41" t="s">
        <v>81</v>
      </c>
      <c r="I41">
        <v>23</v>
      </c>
      <c r="J41">
        <v>4.4722421739130445</v>
      </c>
      <c r="K41">
        <v>0.23741715382011874</v>
      </c>
      <c r="L41">
        <v>4.6079999999999997</v>
      </c>
      <c r="M41">
        <v>6.03</v>
      </c>
      <c r="N41">
        <v>0.86328000000000005</v>
      </c>
      <c r="O41">
        <v>1.4220000000000006</v>
      </c>
      <c r="P41">
        <v>2.7295968352970545E-2</v>
      </c>
    </row>
    <row r="42" spans="7:16" x14ac:dyDescent="0.25">
      <c r="G42" s="13"/>
      <c r="H42" t="s">
        <v>82</v>
      </c>
      <c r="I42">
        <v>23</v>
      </c>
      <c r="J42">
        <v>4.3810778260869574</v>
      </c>
      <c r="K42">
        <v>0.22208115480105275</v>
      </c>
      <c r="L42">
        <v>4.8959999999999999</v>
      </c>
      <c r="M42">
        <v>5.6159999999999997</v>
      </c>
      <c r="N42">
        <v>0.74650000000000005</v>
      </c>
      <c r="O42">
        <v>1.1429999999999998</v>
      </c>
      <c r="P42">
        <v>6.6605535120489723E-4</v>
      </c>
    </row>
    <row r="43" spans="7:16" x14ac:dyDescent="0.25">
      <c r="G43" s="10" t="s">
        <v>105</v>
      </c>
      <c r="H43" t="s">
        <v>81</v>
      </c>
      <c r="I43">
        <v>23</v>
      </c>
      <c r="J43">
        <v>1488.9024347826087</v>
      </c>
      <c r="K43">
        <v>66.916732106473873</v>
      </c>
      <c r="L43">
        <v>1551.77</v>
      </c>
      <c r="M43">
        <v>1742.23</v>
      </c>
      <c r="N43">
        <v>128.816</v>
      </c>
      <c r="O43">
        <v>198.74</v>
      </c>
      <c r="P43">
        <v>5.0599945777829447E-7</v>
      </c>
    </row>
    <row r="44" spans="7:16" x14ac:dyDescent="0.25">
      <c r="G44" s="14"/>
      <c r="H44" t="s">
        <v>82</v>
      </c>
      <c r="I44">
        <v>23</v>
      </c>
      <c r="J44">
        <v>1470.9572608695653</v>
      </c>
      <c r="K44">
        <v>68.422281981631869</v>
      </c>
      <c r="L44">
        <v>1550.6</v>
      </c>
      <c r="M44">
        <v>1756.8</v>
      </c>
      <c r="N44">
        <v>175.12700000000001</v>
      </c>
      <c r="O44">
        <v>214.67500000000018</v>
      </c>
      <c r="P44">
        <v>6.2238190935426374E-6</v>
      </c>
    </row>
    <row r="51" spans="2:15" x14ac:dyDescent="0.25">
      <c r="B51" t="s">
        <v>108</v>
      </c>
      <c r="M51" t="s">
        <v>129</v>
      </c>
    </row>
    <row r="53" spans="2:15" ht="15.75" thickBot="1" x14ac:dyDescent="0.3">
      <c r="B53" t="s">
        <v>109</v>
      </c>
      <c r="E53" t="s">
        <v>110</v>
      </c>
      <c r="F53">
        <v>0</v>
      </c>
      <c r="N53" t="str">
        <f>B4</f>
        <v xml:space="preserve"> Ribbond.Resitencia flexural.MPa</v>
      </c>
      <c r="O53" t="str">
        <f>C4</f>
        <v xml:space="preserve"> Interlig.Resitencia flexural.MPa</v>
      </c>
    </row>
    <row r="54" spans="2:15" ht="15.75" thickTop="1" x14ac:dyDescent="0.25">
      <c r="B54" s="23" t="s">
        <v>111</v>
      </c>
      <c r="C54" s="23" t="s">
        <v>94</v>
      </c>
      <c r="D54" s="23" t="s">
        <v>89</v>
      </c>
      <c r="E54" s="23" t="s">
        <v>112</v>
      </c>
      <c r="F54" s="23" t="s">
        <v>113</v>
      </c>
      <c r="M54" t="s">
        <v>130</v>
      </c>
      <c r="N54" s="25">
        <f>COUNT(B5:B27)</f>
        <v>23</v>
      </c>
      <c r="O54" s="26">
        <f>COUNT(C5:C27)</f>
        <v>23</v>
      </c>
    </row>
    <row r="55" spans="2:15" x14ac:dyDescent="0.25">
      <c r="B55" t="str">
        <f>B4</f>
        <v xml:space="preserve"> Ribbond.Resitencia flexural.MPa</v>
      </c>
      <c r="C55">
        <f>COUNT(B5:B27)</f>
        <v>23</v>
      </c>
      <c r="D55" s="24">
        <f>AVERAGE(B5:B27)</f>
        <v>61.617989565217407</v>
      </c>
      <c r="E55">
        <f>_xlfn.VAR.S(B5:B27)</f>
        <v>204.10977807304681</v>
      </c>
      <c r="M55" t="s">
        <v>131</v>
      </c>
      <c r="N55" s="27">
        <f>MEDIAN(B5:B27)</f>
        <v>63.971400000000003</v>
      </c>
      <c r="O55" s="28">
        <f>MEDIAN(C5:C27)</f>
        <v>64.114900000000006</v>
      </c>
    </row>
    <row r="56" spans="2:15" x14ac:dyDescent="0.25">
      <c r="B56" t="str">
        <f>C4</f>
        <v xml:space="preserve"> Interlig.Resitencia flexural.MPa</v>
      </c>
      <c r="C56">
        <f>COUNT(C5:C27)</f>
        <v>23</v>
      </c>
      <c r="D56" s="24">
        <f>AVERAGE(C5:C27)</f>
        <v>61.810113043478275</v>
      </c>
      <c r="E56">
        <f>_xlfn.VAR.S(C5:C27)</f>
        <v>234.28490729663861</v>
      </c>
      <c r="M56" t="s">
        <v>132</v>
      </c>
      <c r="N56" s="29">
        <f>[1]!RANK_SUM(B5:B27,C5:C27,1)</f>
        <v>545</v>
      </c>
      <c r="O56" s="30">
        <f>[1]!RANK_SUM(C5:C27,B5:B27,1)</f>
        <v>536</v>
      </c>
    </row>
    <row r="57" spans="2:15" x14ac:dyDescent="0.25">
      <c r="B57" s="9" t="s">
        <v>114</v>
      </c>
      <c r="C57" s="9"/>
      <c r="D57" s="9"/>
      <c r="E57" s="9">
        <f>((C55-1)*E55+(C56-1)*E56)/(C55+C56-2)</f>
        <v>219.19734268484271</v>
      </c>
      <c r="F57" s="9">
        <f>ABS(D55-D56-F53)/SQRT(E57)</f>
        <v>1.2976656184106386E-2</v>
      </c>
      <c r="M57" t="s">
        <v>133</v>
      </c>
      <c r="N57" s="31">
        <f>N54*O54+N54*(N54+1)/2-N56</f>
        <v>260</v>
      </c>
      <c r="O57" s="32">
        <f>N54*O54+O54*(O54+1)/2-O56</f>
        <v>269</v>
      </c>
    </row>
    <row r="59" spans="2:15" ht="15.75" thickBot="1" x14ac:dyDescent="0.3">
      <c r="B59" t="s">
        <v>115</v>
      </c>
      <c r="F59" t="s">
        <v>116</v>
      </c>
      <c r="G59">
        <v>0.05</v>
      </c>
      <c r="N59" s="2" t="s">
        <v>134</v>
      </c>
      <c r="O59" s="2" t="s">
        <v>135</v>
      </c>
    </row>
    <row r="60" spans="2:15" ht="15.75" thickTop="1" x14ac:dyDescent="0.25">
      <c r="B60" s="23" t="s">
        <v>117</v>
      </c>
      <c r="C60" s="23" t="s">
        <v>118</v>
      </c>
      <c r="D60" s="23" t="s">
        <v>119</v>
      </c>
      <c r="E60" s="23" t="s">
        <v>120</v>
      </c>
      <c r="F60" s="23" t="s">
        <v>98</v>
      </c>
      <c r="G60" s="23" t="s">
        <v>121</v>
      </c>
      <c r="H60" s="23" t="s">
        <v>122</v>
      </c>
      <c r="I60" s="23" t="s">
        <v>123</v>
      </c>
      <c r="J60" s="23" t="s">
        <v>124</v>
      </c>
      <c r="K60" s="23" t="s">
        <v>125</v>
      </c>
      <c r="M60" t="s">
        <v>133</v>
      </c>
      <c r="N60" s="33">
        <f>MIN(N57,O57)</f>
        <v>260</v>
      </c>
    </row>
    <row r="61" spans="2:15" x14ac:dyDescent="0.25">
      <c r="B61" t="s">
        <v>126</v>
      </c>
      <c r="C61">
        <f>SQRT(E57*(1/C55+1/C56))</f>
        <v>4.3658491149298948</v>
      </c>
      <c r="D61">
        <f>(ABS(D55-D56-F53))/C61</f>
        <v>4.400598215908634E-2</v>
      </c>
      <c r="E61">
        <f>C55+C56-2</f>
        <v>44</v>
      </c>
      <c r="F61">
        <f>_xlfn.T.DIST.RT(D61,E61)</f>
        <v>0.48254937126802577</v>
      </c>
      <c r="G61">
        <f>_xlfn.T.INV.2T(G59*2,E61)</f>
        <v>1.680229976572116</v>
      </c>
      <c r="J61" s="2" t="str">
        <f>IF(F61&lt;G59,"yes","no")</f>
        <v>no</v>
      </c>
      <c r="K61">
        <f>SQRT(D61^2/(D61^2+E61))</f>
        <v>6.6340054389238375E-3</v>
      </c>
      <c r="M61" t="s">
        <v>136</v>
      </c>
      <c r="N61" s="34">
        <f>N54*O54/2</f>
        <v>264.5</v>
      </c>
    </row>
    <row r="62" spans="2:15" x14ac:dyDescent="0.25">
      <c r="B62" t="s">
        <v>127</v>
      </c>
      <c r="C62">
        <f>C61</f>
        <v>4.3658491149298948</v>
      </c>
      <c r="D62">
        <f t="shared" ref="D62:E62" si="5">D61</f>
        <v>4.400598215908634E-2</v>
      </c>
      <c r="E62">
        <f t="shared" si="5"/>
        <v>44</v>
      </c>
      <c r="F62">
        <f>_xlfn.T.DIST.2T(D62,E62)</f>
        <v>0.96509874253605155</v>
      </c>
      <c r="G62">
        <f>_xlfn.T.INV.2T(G59,E62)</f>
        <v>2.0153675744437649</v>
      </c>
      <c r="H62">
        <f>(D55-D56)-G62*C62</f>
        <v>-8.990914219404587</v>
      </c>
      <c r="I62">
        <f>(D55-D56)+G62*C62</f>
        <v>8.6066672628828513</v>
      </c>
      <c r="J62" s="2" t="str">
        <f>IF(F62&lt;G59,"yes","no")</f>
        <v>no</v>
      </c>
      <c r="K62">
        <f>K61</f>
        <v>6.6340054389238375E-3</v>
      </c>
      <c r="M62" t="s">
        <v>137</v>
      </c>
      <c r="N62" s="34">
        <f>SQRT(N61*(N54+O54+1)/6*(1-[1]!TiesCorrection(B5:B27,C5:C27,2)/((N54+O54)^3-N54-O54)))</f>
        <v>45.51831133364535</v>
      </c>
      <c r="O62" t="s">
        <v>138</v>
      </c>
    </row>
    <row r="63" spans="2:15" x14ac:dyDescent="0.25">
      <c r="B63" s="9"/>
      <c r="C63" s="9"/>
      <c r="D63" s="9"/>
      <c r="E63" s="9"/>
      <c r="F63" s="9"/>
      <c r="G63" s="9"/>
      <c r="H63" s="9"/>
      <c r="I63" s="9"/>
      <c r="J63" s="9"/>
      <c r="K63" s="9"/>
      <c r="M63" t="s">
        <v>139</v>
      </c>
      <c r="N63" s="34">
        <f>ABS(ABS(N60-N61)-1/2)/N62</f>
        <v>8.7876722198245452E-2</v>
      </c>
      <c r="O63" t="s">
        <v>140</v>
      </c>
    </row>
    <row r="64" spans="2:15" ht="15.75" thickBot="1" x14ac:dyDescent="0.3">
      <c r="B64" t="s">
        <v>128</v>
      </c>
      <c r="F64" t="s">
        <v>116</v>
      </c>
      <c r="G64">
        <f>G59</f>
        <v>0.05</v>
      </c>
      <c r="M64" t="s">
        <v>125</v>
      </c>
      <c r="N64" s="34">
        <f>N63/SQRT(N54+O54)</f>
        <v>1.2956715821389781E-2</v>
      </c>
    </row>
    <row r="65" spans="2:15" ht="15.75" thickTop="1" x14ac:dyDescent="0.25">
      <c r="B65" s="23" t="s">
        <v>117</v>
      </c>
      <c r="C65" s="23" t="s">
        <v>118</v>
      </c>
      <c r="D65" s="23" t="s">
        <v>119</v>
      </c>
      <c r="E65" s="23" t="s">
        <v>120</v>
      </c>
      <c r="F65" s="23" t="s">
        <v>98</v>
      </c>
      <c r="G65" s="23" t="s">
        <v>121</v>
      </c>
      <c r="H65" s="23" t="s">
        <v>122</v>
      </c>
      <c r="I65" s="23" t="s">
        <v>123</v>
      </c>
      <c r="J65" s="23" t="s">
        <v>124</v>
      </c>
      <c r="K65" s="23" t="s">
        <v>125</v>
      </c>
      <c r="M65" t="s">
        <v>141</v>
      </c>
      <c r="N65" s="33">
        <f>1-_xlfn.NORM.S.DIST(N63,TRUE)</f>
        <v>0.46498732900518647</v>
      </c>
      <c r="O65" s="26">
        <f>2*N65</f>
        <v>0.92997465801037293</v>
      </c>
    </row>
    <row r="66" spans="2:15" x14ac:dyDescent="0.25">
      <c r="B66" t="s">
        <v>126</v>
      </c>
      <c r="C66">
        <f>SQRT(E55/C55+E56/C56)</f>
        <v>4.3658491149298948</v>
      </c>
      <c r="D66">
        <f>(ABS(D55-D56-F53))/C66</f>
        <v>4.400598215908634E-2</v>
      </c>
      <c r="E66">
        <f>(E55/C55+E56/C56)^2/((E55/C55)^2/(C55-1)+(E56/C56)^2/(C56-1))</f>
        <v>43.792524082623345</v>
      </c>
      <c r="F66">
        <f>[1]!T_DIST_RT(D66,E66)</f>
        <v>0.48254984149513186</v>
      </c>
      <c r="G66">
        <f>[1]!T_INV(1-G64,E66)</f>
        <v>1.6804011829010104</v>
      </c>
      <c r="J66" s="2" t="str">
        <f>IF(F66&lt;G64,"yes","no")</f>
        <v>no</v>
      </c>
      <c r="K66">
        <f>SQRT(D66^2/(D66^2+E66))</f>
        <v>6.649701145966273E-3</v>
      </c>
      <c r="M66" t="s">
        <v>142</v>
      </c>
      <c r="N66" s="34">
        <f>[1]!MWDIST(N60,N54,O54,1)</f>
        <v>0.46533154096127261</v>
      </c>
      <c r="O66" s="30">
        <f>2*N66</f>
        <v>0.93066308192254521</v>
      </c>
    </row>
    <row r="67" spans="2:15" x14ac:dyDescent="0.25">
      <c r="B67" t="s">
        <v>127</v>
      </c>
      <c r="C67">
        <f>C66</f>
        <v>4.3658491149298948</v>
      </c>
      <c r="D67">
        <f t="shared" ref="D67:E67" si="6">D66</f>
        <v>4.400598215908634E-2</v>
      </c>
      <c r="E67">
        <f t="shared" si="6"/>
        <v>43.792524082623345</v>
      </c>
      <c r="F67">
        <f>[1]!T_DIST_2T(D67,E67)</f>
        <v>0.96509968299026372</v>
      </c>
      <c r="G67">
        <f>[1]!T_INV_2T(G64,E67)</f>
        <v>2.0156372924519266</v>
      </c>
      <c r="H67">
        <f>(D55-D56)-G67*C67</f>
        <v>-8.9920917675318002</v>
      </c>
      <c r="I67">
        <f>(D55-D56)+G67*C67</f>
        <v>8.6078448110100645</v>
      </c>
      <c r="J67" s="2" t="str">
        <f>IF(F67&lt;G64,"yes","no")</f>
        <v>no</v>
      </c>
      <c r="K67">
        <f>K66</f>
        <v>6.649701145966273E-3</v>
      </c>
      <c r="M67" t="s">
        <v>143</v>
      </c>
      <c r="N67" s="35" t="s">
        <v>144</v>
      </c>
      <c r="O67" s="32" t="s">
        <v>144</v>
      </c>
    </row>
    <row r="68" spans="2:15" x14ac:dyDescent="0.25">
      <c r="B68" s="9"/>
      <c r="C68" s="9"/>
      <c r="D68" s="9"/>
      <c r="E68" s="9"/>
      <c r="F68" s="9"/>
      <c r="G68" s="9"/>
      <c r="H68" s="9"/>
      <c r="I68" s="9"/>
      <c r="J68" s="9"/>
      <c r="K68" s="9"/>
    </row>
    <row r="76" spans="2:15" x14ac:dyDescent="0.25">
      <c r="B76" t="s">
        <v>108</v>
      </c>
      <c r="M76" t="s">
        <v>129</v>
      </c>
    </row>
    <row r="78" spans="2:15" ht="15.75" thickBot="1" x14ac:dyDescent="0.3">
      <c r="B78" t="s">
        <v>109</v>
      </c>
      <c r="E78" t="s">
        <v>110</v>
      </c>
      <c r="F78">
        <v>0</v>
      </c>
      <c r="N78" t="str">
        <f>D4</f>
        <v xml:space="preserve"> Ribbond.Deformación.%</v>
      </c>
      <c r="O78" t="str">
        <f>E4</f>
        <v xml:space="preserve"> Interlig.Deformación.%</v>
      </c>
    </row>
    <row r="79" spans="2:15" ht="15.75" thickTop="1" x14ac:dyDescent="0.25">
      <c r="B79" s="23" t="s">
        <v>111</v>
      </c>
      <c r="C79" s="23" t="s">
        <v>94</v>
      </c>
      <c r="D79" s="23" t="s">
        <v>89</v>
      </c>
      <c r="E79" s="23" t="s">
        <v>112</v>
      </c>
      <c r="F79" s="23" t="s">
        <v>113</v>
      </c>
      <c r="M79" t="s">
        <v>130</v>
      </c>
      <c r="N79" s="25">
        <f>COUNT(D5:D27)</f>
        <v>23</v>
      </c>
      <c r="O79" s="26">
        <f>COUNT(E5:E27)</f>
        <v>23</v>
      </c>
    </row>
    <row r="80" spans="2:15" x14ac:dyDescent="0.25">
      <c r="B80" t="str">
        <f>D4</f>
        <v xml:space="preserve"> Ribbond.Deformación.%</v>
      </c>
      <c r="C80">
        <f>COUNT(D5:D27)</f>
        <v>23</v>
      </c>
      <c r="D80" s="24">
        <f>AVERAGE(D5:D27)</f>
        <v>4.4722421739130445</v>
      </c>
      <c r="E80">
        <f>_xlfn.VAR.S(D5:D27)</f>
        <v>1.2964388133450562</v>
      </c>
      <c r="M80" t="s">
        <v>131</v>
      </c>
      <c r="N80" s="27">
        <f>MEDIAN(D5:D27)</f>
        <v>4.6079999999999997</v>
      </c>
      <c r="O80" s="28">
        <f>MEDIAN(E5:E27)</f>
        <v>4.8959999999999999</v>
      </c>
    </row>
    <row r="81" spans="2:15" x14ac:dyDescent="0.25">
      <c r="B81" t="str">
        <f>E4</f>
        <v xml:space="preserve"> Interlig.Deformación.%</v>
      </c>
      <c r="C81">
        <f>COUNT(E5:E27)</f>
        <v>23</v>
      </c>
      <c r="D81" s="24">
        <f>AVERAGE(E5:E27)</f>
        <v>4.3810778260869574</v>
      </c>
      <c r="E81">
        <f>_xlfn.VAR.S(E5:E27)</f>
        <v>1.1343609043086902</v>
      </c>
      <c r="M81" t="s">
        <v>132</v>
      </c>
      <c r="N81" s="29">
        <f>[1]!RANK_SUM(D5:D27,E5:E27,1)</f>
        <v>558</v>
      </c>
      <c r="O81" s="30">
        <f>[1]!RANK_SUM(E5:E27,D5:D27,1)</f>
        <v>523</v>
      </c>
    </row>
    <row r="82" spans="2:15" x14ac:dyDescent="0.25">
      <c r="B82" s="9" t="s">
        <v>114</v>
      </c>
      <c r="C82" s="9"/>
      <c r="D82" s="9"/>
      <c r="E82" s="9">
        <f>((C80-1)*E80+(C81-1)*E81)/(C80+C81-2)</f>
        <v>1.2153998588268733</v>
      </c>
      <c r="F82" s="9">
        <f>ABS(D80-D81-F78)/SQRT(E82)</f>
        <v>8.269236990237018E-2</v>
      </c>
      <c r="M82" t="s">
        <v>133</v>
      </c>
      <c r="N82" s="31">
        <f>N79*O79+N79*(N79+1)/2-N81</f>
        <v>247</v>
      </c>
      <c r="O82" s="32">
        <f>N79*O79+O79*(O79+1)/2-O81</f>
        <v>282</v>
      </c>
    </row>
    <row r="84" spans="2:15" ht="15.75" thickBot="1" x14ac:dyDescent="0.3">
      <c r="B84" t="s">
        <v>115</v>
      </c>
      <c r="F84" t="s">
        <v>116</v>
      </c>
      <c r="G84">
        <v>0.05</v>
      </c>
      <c r="N84" s="2" t="s">
        <v>134</v>
      </c>
      <c r="O84" s="2" t="s">
        <v>135</v>
      </c>
    </row>
    <row r="85" spans="2:15" ht="15.75" thickTop="1" x14ac:dyDescent="0.25">
      <c r="B85" s="23" t="s">
        <v>117</v>
      </c>
      <c r="C85" s="23" t="s">
        <v>118</v>
      </c>
      <c r="D85" s="23" t="s">
        <v>119</v>
      </c>
      <c r="E85" s="23" t="s">
        <v>120</v>
      </c>
      <c r="F85" s="23" t="s">
        <v>98</v>
      </c>
      <c r="G85" s="23" t="s">
        <v>121</v>
      </c>
      <c r="H85" s="23" t="s">
        <v>122</v>
      </c>
      <c r="I85" s="23" t="s">
        <v>123</v>
      </c>
      <c r="J85" s="23" t="s">
        <v>124</v>
      </c>
      <c r="K85" s="23" t="s">
        <v>125</v>
      </c>
      <c r="M85" t="s">
        <v>133</v>
      </c>
      <c r="N85" s="33">
        <f>MIN(N82,O82)</f>
        <v>247</v>
      </c>
    </row>
    <row r="86" spans="2:15" x14ac:dyDescent="0.25">
      <c r="B86" t="s">
        <v>126</v>
      </c>
      <c r="C86">
        <f>SQRT(E82*(1/C80+1/C81))</f>
        <v>0.32509528487170508</v>
      </c>
      <c r="D86">
        <f>(ABS(D80-D81-F78))/C86</f>
        <v>0.28042346988226535</v>
      </c>
      <c r="E86">
        <f>C80+C81-2</f>
        <v>44</v>
      </c>
      <c r="F86">
        <f>_xlfn.T.DIST.RT(D86,E86)</f>
        <v>0.39023346991410912</v>
      </c>
      <c r="G86">
        <f>_xlfn.T.INV.2T(G84*2,E86)</f>
        <v>1.680229976572116</v>
      </c>
      <c r="J86" s="2" t="str">
        <f>IF(F86&lt;G84,"yes","no")</f>
        <v>no</v>
      </c>
      <c r="K86">
        <f>SQRT(D86^2/(D86^2+E86))</f>
        <v>4.2237701715677367E-2</v>
      </c>
      <c r="M86" t="s">
        <v>136</v>
      </c>
      <c r="N86" s="34">
        <f>N79*O79/2</f>
        <v>264.5</v>
      </c>
    </row>
    <row r="87" spans="2:15" x14ac:dyDescent="0.25">
      <c r="B87" t="s">
        <v>127</v>
      </c>
      <c r="C87">
        <f>C86</f>
        <v>0.32509528487170508</v>
      </c>
      <c r="D87">
        <f t="shared" ref="D87:E87" si="7">D86</f>
        <v>0.28042346988226535</v>
      </c>
      <c r="E87">
        <f t="shared" si="7"/>
        <v>44</v>
      </c>
      <c r="F87">
        <f>_xlfn.T.DIST.2T(D87,E87)</f>
        <v>0.78046693982821824</v>
      </c>
      <c r="G87">
        <f>_xlfn.T.INV.2T(G84,E87)</f>
        <v>2.0153675744437649</v>
      </c>
      <c r="H87">
        <f>(D80-D81)-G87*C87</f>
        <v>-0.56402214790890604</v>
      </c>
      <c r="I87">
        <f>(D80-D81)+G87*C87</f>
        <v>0.74635084356108017</v>
      </c>
      <c r="J87" s="2" t="str">
        <f>IF(F87&lt;G84,"yes","no")</f>
        <v>no</v>
      </c>
      <c r="K87">
        <f>K86</f>
        <v>4.2237701715677367E-2</v>
      </c>
      <c r="M87" t="s">
        <v>137</v>
      </c>
      <c r="N87" s="34">
        <f>SQRT(N86*(N79+O79+1)/6*(1-[1]!TiesCorrection(D5:D27,E5:E27,2)/((N79+O79)^3-N79-O79)))</f>
        <v>45.509889035241564</v>
      </c>
      <c r="O87" t="s">
        <v>138</v>
      </c>
    </row>
    <row r="88" spans="2:15" x14ac:dyDescent="0.25">
      <c r="B88" s="9"/>
      <c r="C88" s="9"/>
      <c r="D88" s="9"/>
      <c r="E88" s="9"/>
      <c r="F88" s="9"/>
      <c r="G88" s="9"/>
      <c r="H88" s="9"/>
      <c r="I88" s="9"/>
      <c r="J88" s="9"/>
      <c r="K88" s="9"/>
      <c r="M88" t="s">
        <v>139</v>
      </c>
      <c r="N88" s="34">
        <f>ABS(ABS(N85-N86)-1/2)/N87</f>
        <v>0.37354518677985971</v>
      </c>
      <c r="O88" t="s">
        <v>140</v>
      </c>
    </row>
    <row r="89" spans="2:15" ht="15.75" thickBot="1" x14ac:dyDescent="0.3">
      <c r="B89" t="s">
        <v>128</v>
      </c>
      <c r="F89" t="s">
        <v>116</v>
      </c>
      <c r="G89">
        <f>G84</f>
        <v>0.05</v>
      </c>
      <c r="M89" t="s">
        <v>125</v>
      </c>
      <c r="N89" s="34">
        <f>N88/SQRT(N79+O79)</f>
        <v>5.5076233051068936E-2</v>
      </c>
    </row>
    <row r="90" spans="2:15" ht="15.75" thickTop="1" x14ac:dyDescent="0.25">
      <c r="B90" s="23" t="s">
        <v>117</v>
      </c>
      <c r="C90" s="23" t="s">
        <v>118</v>
      </c>
      <c r="D90" s="23" t="s">
        <v>119</v>
      </c>
      <c r="E90" s="23" t="s">
        <v>120</v>
      </c>
      <c r="F90" s="23" t="s">
        <v>98</v>
      </c>
      <c r="G90" s="23" t="s">
        <v>121</v>
      </c>
      <c r="H90" s="23" t="s">
        <v>122</v>
      </c>
      <c r="I90" s="23" t="s">
        <v>123</v>
      </c>
      <c r="J90" s="23" t="s">
        <v>124</v>
      </c>
      <c r="K90" s="23" t="s">
        <v>125</v>
      </c>
      <c r="M90" t="s">
        <v>141</v>
      </c>
      <c r="N90" s="33">
        <f>1-_xlfn.NORM.S.DIST(N88,TRUE)</f>
        <v>0.35437136043682682</v>
      </c>
      <c r="O90" s="26">
        <f>2*N90</f>
        <v>0.70874272087365364</v>
      </c>
    </row>
    <row r="91" spans="2:15" x14ac:dyDescent="0.25">
      <c r="B91" t="s">
        <v>126</v>
      </c>
      <c r="C91">
        <f>SQRT(E80/C80+E81/C81)</f>
        <v>0.32509528487170508</v>
      </c>
      <c r="D91">
        <f>(ABS(D80-D81-F78))/C91</f>
        <v>0.28042346988226535</v>
      </c>
      <c r="E91">
        <f>(E80/C80+E81/C81)^2/((E80/C80)^2/(C80-1)+(E81/C81)^2/(C81-1))</f>
        <v>43.805250896063171</v>
      </c>
      <c r="F91">
        <f>[1]!T_DIST_RT(D91,E91)</f>
        <v>0.39023638216360806</v>
      </c>
      <c r="G91">
        <f>[1]!T_INV(1-G89,E91)</f>
        <v>1.6803906332185032</v>
      </c>
      <c r="J91" s="2" t="str">
        <f>IF(F91&lt;G89,"yes","no")</f>
        <v>no</v>
      </c>
      <c r="K91">
        <f>SQRT(D91^2/(D91^2+E91))</f>
        <v>4.2331319771986793E-2</v>
      </c>
      <c r="M91" t="s">
        <v>142</v>
      </c>
      <c r="N91" s="34">
        <f>[1]!MWDIST(N85,N79,O79,1)</f>
        <v>0.35570927674856412</v>
      </c>
      <c r="O91" s="30">
        <f>2*N91</f>
        <v>0.71141855349712824</v>
      </c>
    </row>
    <row r="92" spans="2:15" x14ac:dyDescent="0.25">
      <c r="B92" t="s">
        <v>127</v>
      </c>
      <c r="C92">
        <f>C91</f>
        <v>0.32509528487170508</v>
      </c>
      <c r="D92">
        <f t="shared" ref="D92:E92" si="8">D91</f>
        <v>0.28042346988226535</v>
      </c>
      <c r="E92">
        <f t="shared" si="8"/>
        <v>43.805250896063171</v>
      </c>
      <c r="F92">
        <f>[1]!T_DIST_2T(D92,E92)</f>
        <v>0.78047276432721613</v>
      </c>
      <c r="G92">
        <f>[1]!T_INV_2T(G89,E92)</f>
        <v>2.0156206720690384</v>
      </c>
      <c r="H92">
        <f>(D80-D81)-G92*C92</f>
        <v>-0.56410442875349465</v>
      </c>
      <c r="I92">
        <f>(D80-D81)+G92*C92</f>
        <v>0.74643312440566878</v>
      </c>
      <c r="J92" s="2" t="str">
        <f>IF(F92&lt;G89,"yes","no")</f>
        <v>no</v>
      </c>
      <c r="K92">
        <f>K91</f>
        <v>4.2331319771986793E-2</v>
      </c>
      <c r="M92" t="s">
        <v>143</v>
      </c>
      <c r="N92" s="35" t="s">
        <v>144</v>
      </c>
      <c r="O92" s="32" t="s">
        <v>144</v>
      </c>
    </row>
    <row r="93" spans="2:15" x14ac:dyDescent="0.25">
      <c r="B93" s="9"/>
      <c r="C93" s="9"/>
      <c r="D93" s="9"/>
      <c r="E93" s="9"/>
      <c r="F93" s="9"/>
      <c r="G93" s="9"/>
      <c r="H93" s="9"/>
      <c r="I93" s="9"/>
      <c r="J93" s="9"/>
      <c r="K93" s="9"/>
    </row>
    <row r="98" spans="2:15" x14ac:dyDescent="0.25">
      <c r="B98" t="s">
        <v>108</v>
      </c>
      <c r="M98" t="s">
        <v>129</v>
      </c>
    </row>
    <row r="100" spans="2:15" ht="15.75" thickBot="1" x14ac:dyDescent="0.3">
      <c r="B100" t="s">
        <v>109</v>
      </c>
      <c r="E100" t="s">
        <v>110</v>
      </c>
      <c r="F100">
        <v>0</v>
      </c>
      <c r="N100" t="str">
        <f>F4</f>
        <v xml:space="preserve"> Ribbond.Módulo elástico.MPa</v>
      </c>
      <c r="O100" t="str">
        <f>G4</f>
        <v xml:space="preserve"> Interlig.Módulo elástico.MPa</v>
      </c>
    </row>
    <row r="101" spans="2:15" ht="15.75" thickTop="1" x14ac:dyDescent="0.25">
      <c r="B101" s="23" t="s">
        <v>111</v>
      </c>
      <c r="C101" s="23" t="s">
        <v>94</v>
      </c>
      <c r="D101" s="23" t="s">
        <v>89</v>
      </c>
      <c r="E101" s="23" t="s">
        <v>112</v>
      </c>
      <c r="F101" s="23" t="s">
        <v>113</v>
      </c>
      <c r="M101" t="s">
        <v>130</v>
      </c>
      <c r="N101" s="25">
        <f>COUNT(F5:F27)</f>
        <v>23</v>
      </c>
      <c r="O101" s="26">
        <f>COUNT(G5:G27)</f>
        <v>23</v>
      </c>
    </row>
    <row r="102" spans="2:15" x14ac:dyDescent="0.25">
      <c r="B102" t="str">
        <f>F4</f>
        <v xml:space="preserve"> Ribbond.Módulo elástico.MPa</v>
      </c>
      <c r="C102">
        <f>COUNT(F5:F27)</f>
        <v>23</v>
      </c>
      <c r="D102" s="24">
        <f>AVERAGE(F5:F27)</f>
        <v>1488.9024347826087</v>
      </c>
      <c r="E102">
        <f>_xlfn.VAR.S(F5:F27)</f>
        <v>102990.52782362056</v>
      </c>
      <c r="M102" t="s">
        <v>131</v>
      </c>
      <c r="N102" s="27">
        <f>MEDIAN(F5:F27)</f>
        <v>1551.77</v>
      </c>
      <c r="O102" s="28">
        <f>MEDIAN(G5:G27)</f>
        <v>1550.6</v>
      </c>
    </row>
    <row r="103" spans="2:15" x14ac:dyDescent="0.25">
      <c r="B103" t="str">
        <f>G4</f>
        <v xml:space="preserve"> Interlig.Módulo elástico.MPa</v>
      </c>
      <c r="C103">
        <f>COUNT(G5:G27)</f>
        <v>23</v>
      </c>
      <c r="D103" s="24">
        <f>AVERAGE(G5:G27)</f>
        <v>1470.9572608695653</v>
      </c>
      <c r="E103">
        <f>_xlfn.VAR.S(G5:G27)</f>
        <v>107676.99944620072</v>
      </c>
      <c r="M103" t="s">
        <v>132</v>
      </c>
      <c r="N103" s="29">
        <f>[1]!RANK_SUM(F5:F27,G5:G27,1)</f>
        <v>545</v>
      </c>
      <c r="O103" s="30">
        <f>[1]!RANK_SUM(G5:G27,F5:F27,1)</f>
        <v>536</v>
      </c>
    </row>
    <row r="104" spans="2:15" x14ac:dyDescent="0.25">
      <c r="B104" s="9" t="s">
        <v>114</v>
      </c>
      <c r="C104" s="9"/>
      <c r="D104" s="9"/>
      <c r="E104" s="9">
        <f>((C102-1)*E102+(C103-1)*E103)/(C102+C103-2)</f>
        <v>105333.76363491063</v>
      </c>
      <c r="F104" s="9">
        <f>ABS(D102-D103-F100)/SQRT(E104)</f>
        <v>5.5292200039301589E-2</v>
      </c>
      <c r="M104" t="s">
        <v>133</v>
      </c>
      <c r="N104" s="31">
        <f>N101*O101+N101*(N101+1)/2-N103</f>
        <v>260</v>
      </c>
      <c r="O104" s="32">
        <f>N101*O101+O101*(O101+1)/2-O103</f>
        <v>269</v>
      </c>
    </row>
    <row r="106" spans="2:15" ht="15.75" thickBot="1" x14ac:dyDescent="0.3">
      <c r="B106" t="s">
        <v>115</v>
      </c>
      <c r="F106" t="s">
        <v>116</v>
      </c>
      <c r="G106">
        <v>0.05</v>
      </c>
      <c r="N106" s="2" t="s">
        <v>134</v>
      </c>
      <c r="O106" s="2" t="s">
        <v>135</v>
      </c>
    </row>
    <row r="107" spans="2:15" ht="15.75" thickTop="1" x14ac:dyDescent="0.25">
      <c r="B107" s="23" t="s">
        <v>117</v>
      </c>
      <c r="C107" s="23" t="s">
        <v>118</v>
      </c>
      <c r="D107" s="23" t="s">
        <v>119</v>
      </c>
      <c r="E107" s="23" t="s">
        <v>120</v>
      </c>
      <c r="F107" s="23" t="s">
        <v>98</v>
      </c>
      <c r="G107" s="23" t="s">
        <v>121</v>
      </c>
      <c r="H107" s="23" t="s">
        <v>122</v>
      </c>
      <c r="I107" s="23" t="s">
        <v>123</v>
      </c>
      <c r="J107" s="23" t="s">
        <v>124</v>
      </c>
      <c r="K107" s="23" t="s">
        <v>125</v>
      </c>
      <c r="M107" t="s">
        <v>133</v>
      </c>
      <c r="N107" s="33">
        <f>MIN(N104,O104)</f>
        <v>260</v>
      </c>
    </row>
    <row r="108" spans="2:15" x14ac:dyDescent="0.25">
      <c r="B108" t="s">
        <v>126</v>
      </c>
      <c r="C108">
        <f>SQRT(E104*(1/C102+1/C103))</f>
        <v>95.705055808894102</v>
      </c>
      <c r="D108">
        <f>(ABS(D102-D103-F100))/C108</f>
        <v>0.18750497307975764</v>
      </c>
      <c r="E108">
        <f>C102+C103-2</f>
        <v>44</v>
      </c>
      <c r="F108">
        <f>_xlfn.T.DIST.RT(D108,E108)</f>
        <v>0.42606336662351352</v>
      </c>
      <c r="G108">
        <f>_xlfn.T.INV.2T(G106*2,E108)</f>
        <v>1.680229976572116</v>
      </c>
      <c r="J108" s="2" t="str">
        <f>IF(F108&lt;G106,"yes","no")</f>
        <v>no</v>
      </c>
      <c r="K108">
        <f>SQRT(D108^2/(D108^2+E108))</f>
        <v>2.8256151516743488E-2</v>
      </c>
      <c r="M108" t="s">
        <v>136</v>
      </c>
      <c r="N108" s="34">
        <f>N101*O101/2</f>
        <v>264.5</v>
      </c>
    </row>
    <row r="109" spans="2:15" x14ac:dyDescent="0.25">
      <c r="B109" t="s">
        <v>127</v>
      </c>
      <c r="C109">
        <f>C108</f>
        <v>95.705055808894102</v>
      </c>
      <c r="D109">
        <f t="shared" ref="D109:E109" si="9">D108</f>
        <v>0.18750497307975764</v>
      </c>
      <c r="E109">
        <f t="shared" si="9"/>
        <v>44</v>
      </c>
      <c r="F109">
        <f>_xlfn.T.DIST.2T(D109,E109)</f>
        <v>0.85212673324702704</v>
      </c>
      <c r="G109">
        <f>_xlfn.T.INV.2T(G106,E109)</f>
        <v>2.0153675744437649</v>
      </c>
      <c r="H109">
        <f>(D102-D103)-G109*C109</f>
        <v>-174.93569227453267</v>
      </c>
      <c r="I109">
        <f>(D102-D103)+G109*C109</f>
        <v>210.82604010061945</v>
      </c>
      <c r="J109" s="2" t="str">
        <f>IF(F109&lt;G106,"yes","no")</f>
        <v>no</v>
      </c>
      <c r="K109">
        <f>K108</f>
        <v>2.8256151516743488E-2</v>
      </c>
      <c r="M109" t="s">
        <v>137</v>
      </c>
      <c r="N109" s="34">
        <f>SQRT(N108*(N101+O101+1)/6*(1-[1]!TiesCorrection(F5:F27,G5:G27,2)/((N101+O101)^3-N101-O101)))</f>
        <v>45.51831133364535</v>
      </c>
      <c r="O109" t="s">
        <v>138</v>
      </c>
    </row>
    <row r="110" spans="2:15" x14ac:dyDescent="0.25">
      <c r="B110" s="9"/>
      <c r="C110" s="9"/>
      <c r="D110" s="9"/>
      <c r="E110" s="9"/>
      <c r="F110" s="9"/>
      <c r="G110" s="9"/>
      <c r="H110" s="9"/>
      <c r="I110" s="9"/>
      <c r="J110" s="9"/>
      <c r="K110" s="9"/>
      <c r="M110" t="s">
        <v>139</v>
      </c>
      <c r="N110" s="34">
        <f>ABS(ABS(N107-N108)-1/2)/N109</f>
        <v>8.7876722198245452E-2</v>
      </c>
      <c r="O110" t="s">
        <v>140</v>
      </c>
    </row>
    <row r="111" spans="2:15" ht="15.75" thickBot="1" x14ac:dyDescent="0.3">
      <c r="B111" t="s">
        <v>128</v>
      </c>
      <c r="F111" t="s">
        <v>116</v>
      </c>
      <c r="G111">
        <f>G106</f>
        <v>0.05</v>
      </c>
      <c r="M111" t="s">
        <v>125</v>
      </c>
      <c r="N111" s="34">
        <f>N110/SQRT(N101+O101)</f>
        <v>1.2956715821389781E-2</v>
      </c>
    </row>
    <row r="112" spans="2:15" ht="15.75" thickTop="1" x14ac:dyDescent="0.25">
      <c r="B112" s="23" t="s">
        <v>117</v>
      </c>
      <c r="C112" s="23" t="s">
        <v>118</v>
      </c>
      <c r="D112" s="23" t="s">
        <v>119</v>
      </c>
      <c r="E112" s="23" t="s">
        <v>120</v>
      </c>
      <c r="F112" s="23" t="s">
        <v>98</v>
      </c>
      <c r="G112" s="23" t="s">
        <v>121</v>
      </c>
      <c r="H112" s="23" t="s">
        <v>122</v>
      </c>
      <c r="I112" s="23" t="s">
        <v>123</v>
      </c>
      <c r="J112" s="23" t="s">
        <v>124</v>
      </c>
      <c r="K112" s="23" t="s">
        <v>125</v>
      </c>
      <c r="M112" t="s">
        <v>141</v>
      </c>
      <c r="N112" s="33">
        <f>1-_xlfn.NORM.S.DIST(N110,TRUE)</f>
        <v>0.46498732900518647</v>
      </c>
      <c r="O112" s="26">
        <f>2*N112</f>
        <v>0.92997465801037293</v>
      </c>
    </row>
    <row r="113" spans="2:15" x14ac:dyDescent="0.25">
      <c r="B113" t="s">
        <v>126</v>
      </c>
      <c r="C113">
        <f>SQRT(E102/C102+E103/C103)</f>
        <v>95.705055808894102</v>
      </c>
      <c r="D113">
        <f>(ABS(D102-D103-F100))/C113</f>
        <v>0.18750497307975764</v>
      </c>
      <c r="E113">
        <f>(E102/C102+E103/C103)^2/((E102/C102)^2/(C102-1)+(E103/C103)^2/(C103-1))</f>
        <v>43.978236206558911</v>
      </c>
      <c r="F113">
        <f>[1]!T_DIST_RT(D113,E113)</f>
        <v>0.42606357926057958</v>
      </c>
      <c r="G113">
        <f>[1]!T_INV(1-G111,E113)</f>
        <v>1.6802478583079701</v>
      </c>
      <c r="J113" s="2" t="str">
        <f>IF(F113&lt;G111,"yes","no")</f>
        <v>no</v>
      </c>
      <c r="K113">
        <f>SQRT(D113^2/(D113^2+E113))</f>
        <v>2.8263136720357747E-2</v>
      </c>
      <c r="M113" t="s">
        <v>142</v>
      </c>
      <c r="N113" s="34">
        <f>[1]!MWDIST(N107,N101,O101,1)</f>
        <v>0.46533154096127261</v>
      </c>
      <c r="O113" s="30">
        <f>2*N113</f>
        <v>0.93066308192254521</v>
      </c>
    </row>
    <row r="114" spans="2:15" x14ac:dyDescent="0.25">
      <c r="B114" t="s">
        <v>127</v>
      </c>
      <c r="C114">
        <f>C113</f>
        <v>95.705055808894102</v>
      </c>
      <c r="D114">
        <f t="shared" ref="D114:E114" si="10">D113</f>
        <v>0.18750497307975764</v>
      </c>
      <c r="E114">
        <f t="shared" si="10"/>
        <v>43.978236206558911</v>
      </c>
      <c r="F114">
        <f>[1]!T_DIST_2T(D114,E114)</f>
        <v>0.85212715852115917</v>
      </c>
      <c r="G114">
        <f>[1]!T_INV_2T(G111,E114)</f>
        <v>2.0153957445719186</v>
      </c>
      <c r="H114">
        <f>(D102-D103)-G114*C114</f>
        <v>-174.93838829821976</v>
      </c>
      <c r="I114">
        <f>(D102-D103)+G114*C114</f>
        <v>210.82873612430654</v>
      </c>
      <c r="J114" s="2" t="str">
        <f>IF(F114&lt;G111,"yes","no")</f>
        <v>no</v>
      </c>
      <c r="K114">
        <f>K113</f>
        <v>2.8263136720357747E-2</v>
      </c>
      <c r="M114" t="s">
        <v>143</v>
      </c>
      <c r="N114" s="35" t="s">
        <v>144</v>
      </c>
      <c r="O114" s="32" t="s">
        <v>144</v>
      </c>
    </row>
    <row r="115" spans="2:15" x14ac:dyDescent="0.25">
      <c r="B115" s="9"/>
      <c r="C115" s="9"/>
      <c r="D115" s="9"/>
      <c r="E115" s="9"/>
      <c r="F115" s="9"/>
      <c r="G115" s="9"/>
      <c r="H115" s="9"/>
      <c r="I115" s="9"/>
      <c r="J115" s="9"/>
      <c r="K115" s="9"/>
    </row>
  </sheetData>
  <mergeCells count="7">
    <mergeCell ref="Z6:AA6"/>
    <mergeCell ref="G39:G40"/>
    <mergeCell ref="G41:G42"/>
    <mergeCell ref="G43:G44"/>
    <mergeCell ref="Z7:Z8"/>
    <mergeCell ref="Z9:Z10"/>
    <mergeCell ref="Z11:Z1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21B6F-366B-4420-B2BF-7A731D5861C7}">
  <dimension ref="A1:M31"/>
  <sheetViews>
    <sheetView workbookViewId="0">
      <selection activeCell="B7" sqref="B7"/>
    </sheetView>
  </sheetViews>
  <sheetFormatPr baseColWidth="10" defaultColWidth="11.42578125" defaultRowHeight="15" x14ac:dyDescent="0.25"/>
  <cols>
    <col min="1" max="1" width="11.85546875" bestFit="1" customWidth="1"/>
    <col min="2" max="2" width="16" bestFit="1" customWidth="1"/>
    <col min="3" max="3" width="11.5703125" bestFit="1" customWidth="1"/>
    <col min="4" max="4" width="14.140625" bestFit="1" customWidth="1"/>
    <col min="6" max="6" width="10.5703125" bestFit="1" customWidth="1"/>
    <col min="7" max="7" width="16" bestFit="1" customWidth="1"/>
    <col min="8" max="8" width="11.5703125" bestFit="1" customWidth="1"/>
    <col min="9" max="9" width="14.140625" bestFit="1" customWidth="1"/>
  </cols>
  <sheetData>
    <row r="1" spans="1:13" x14ac:dyDescent="0.25">
      <c r="A1" t="s">
        <v>0</v>
      </c>
      <c r="B1" t="s">
        <v>1</v>
      </c>
      <c r="C1" t="s">
        <v>2</v>
      </c>
      <c r="D1" t="s">
        <v>3</v>
      </c>
      <c r="E1" t="s">
        <v>4</v>
      </c>
      <c r="F1" t="s">
        <v>5</v>
      </c>
      <c r="G1" t="s">
        <v>6</v>
      </c>
      <c r="H1" t="s">
        <v>7</v>
      </c>
      <c r="I1" t="s">
        <v>8</v>
      </c>
      <c r="J1" t="s">
        <v>9</v>
      </c>
      <c r="K1" t="s">
        <v>10</v>
      </c>
      <c r="L1" t="s">
        <v>11</v>
      </c>
      <c r="M1" t="s">
        <v>12</v>
      </c>
    </row>
    <row r="2" spans="1:13" x14ac:dyDescent="0.25">
      <c r="A2" t="s">
        <v>13</v>
      </c>
      <c r="B2" t="s">
        <v>14</v>
      </c>
      <c r="C2" t="s">
        <v>15</v>
      </c>
      <c r="D2" t="s">
        <v>16</v>
      </c>
      <c r="E2">
        <v>0.75</v>
      </c>
      <c r="F2">
        <v>1</v>
      </c>
      <c r="G2">
        <v>1</v>
      </c>
      <c r="H2" t="s">
        <v>17</v>
      </c>
      <c r="I2" t="s">
        <v>17</v>
      </c>
      <c r="J2" t="s">
        <v>18</v>
      </c>
      <c r="K2" t="s">
        <v>19</v>
      </c>
      <c r="L2">
        <v>0</v>
      </c>
      <c r="M2">
        <v>0</v>
      </c>
    </row>
    <row r="4" spans="1:13" x14ac:dyDescent="0.25">
      <c r="A4" t="s">
        <v>20</v>
      </c>
      <c r="B4" t="s">
        <v>21</v>
      </c>
      <c r="C4" t="s">
        <v>22</v>
      </c>
      <c r="D4" t="s">
        <v>23</v>
      </c>
      <c r="E4" t="s">
        <v>24</v>
      </c>
    </row>
    <row r="5" spans="1:13" x14ac:dyDescent="0.25">
      <c r="C5">
        <v>61</v>
      </c>
      <c r="D5">
        <v>18.100000000000001</v>
      </c>
    </row>
    <row r="7" spans="1:13" x14ac:dyDescent="0.25">
      <c r="A7" s="1" t="s">
        <v>25</v>
      </c>
      <c r="B7" s="1" t="s">
        <v>26</v>
      </c>
      <c r="C7" s="1" t="s">
        <v>27</v>
      </c>
      <c r="D7" s="1" t="s">
        <v>28</v>
      </c>
      <c r="F7" s="1" t="s">
        <v>25</v>
      </c>
      <c r="G7" s="1" t="s">
        <v>26</v>
      </c>
      <c r="H7" s="1" t="s">
        <v>27</v>
      </c>
      <c r="I7" s="1" t="s">
        <v>28</v>
      </c>
    </row>
    <row r="8" spans="1:13" x14ac:dyDescent="0.25">
      <c r="A8" s="1" t="s">
        <v>29</v>
      </c>
      <c r="B8" s="1" t="s">
        <v>30</v>
      </c>
      <c r="C8" s="1" t="s">
        <v>31</v>
      </c>
      <c r="D8" s="1" t="s">
        <v>30</v>
      </c>
      <c r="E8" s="2"/>
      <c r="F8" s="1" t="s">
        <v>29</v>
      </c>
      <c r="G8" s="1" t="s">
        <v>30</v>
      </c>
      <c r="H8" s="1" t="s">
        <v>31</v>
      </c>
      <c r="I8" s="1" t="s">
        <v>30</v>
      </c>
    </row>
    <row r="9" spans="1:13" x14ac:dyDescent="0.25">
      <c r="A9" s="3" t="s">
        <v>32</v>
      </c>
      <c r="B9" s="3">
        <v>70.071600000000004</v>
      </c>
      <c r="C9" s="3">
        <v>6.03</v>
      </c>
      <c r="D9" s="3">
        <v>1363.56</v>
      </c>
      <c r="F9" s="3" t="s">
        <v>33</v>
      </c>
      <c r="G9" s="3">
        <v>53.040399999999998</v>
      </c>
      <c r="H9" s="3">
        <v>4.2119999999999997</v>
      </c>
      <c r="I9" s="3">
        <v>1397.96</v>
      </c>
    </row>
    <row r="10" spans="1:13" x14ac:dyDescent="0.25">
      <c r="A10" s="3" t="s">
        <v>34</v>
      </c>
      <c r="B10" s="3">
        <v>66.171899999999994</v>
      </c>
      <c r="C10" s="3">
        <v>5.7960000000000003</v>
      </c>
      <c r="D10" s="3">
        <v>1319.66</v>
      </c>
      <c r="F10" s="3" t="s">
        <v>35</v>
      </c>
      <c r="G10" s="3">
        <v>50.058599999999998</v>
      </c>
      <c r="H10" s="3">
        <v>3.42</v>
      </c>
      <c r="I10" s="3">
        <v>1580.67</v>
      </c>
    </row>
    <row r="11" spans="1:13" x14ac:dyDescent="0.25">
      <c r="A11" s="3" t="s">
        <v>36</v>
      </c>
      <c r="B11" s="3">
        <v>71.601600000000005</v>
      </c>
      <c r="C11" s="3">
        <v>5.274</v>
      </c>
      <c r="D11" s="3">
        <v>1492.55</v>
      </c>
      <c r="F11" s="3" t="s">
        <v>37</v>
      </c>
      <c r="G11" s="3">
        <v>74.596400000000003</v>
      </c>
      <c r="H11" s="3">
        <v>4.968</v>
      </c>
      <c r="I11" s="3">
        <v>1701.86</v>
      </c>
    </row>
    <row r="12" spans="1:13" x14ac:dyDescent="0.25">
      <c r="A12" s="3" t="s">
        <v>38</v>
      </c>
      <c r="B12" s="3">
        <v>63.971400000000003</v>
      </c>
      <c r="C12" s="3">
        <v>4.6079999999999997</v>
      </c>
      <c r="D12" s="3">
        <v>1554.86</v>
      </c>
      <c r="F12" s="3" t="s">
        <v>39</v>
      </c>
      <c r="G12" s="3">
        <v>69.635400000000004</v>
      </c>
      <c r="H12" s="3">
        <v>4.8959999999999999</v>
      </c>
      <c r="I12" s="3">
        <v>1514.45</v>
      </c>
    </row>
    <row r="13" spans="1:13" x14ac:dyDescent="0.25">
      <c r="A13" s="3" t="s">
        <v>40</v>
      </c>
      <c r="B13" s="3">
        <v>61.5625</v>
      </c>
      <c r="C13" s="3">
        <v>4.59</v>
      </c>
      <c r="D13" s="3">
        <v>1539.03</v>
      </c>
      <c r="F13" s="3" t="s">
        <v>41</v>
      </c>
      <c r="G13" s="3">
        <v>65.364599999999996</v>
      </c>
      <c r="H13" s="3">
        <v>5.0940000000000003</v>
      </c>
      <c r="I13" s="3">
        <v>1328.26</v>
      </c>
    </row>
    <row r="14" spans="1:13" x14ac:dyDescent="0.25">
      <c r="A14" s="3" t="s">
        <v>42</v>
      </c>
      <c r="B14" s="3">
        <v>65.117199999999997</v>
      </c>
      <c r="C14" s="3">
        <v>5.742</v>
      </c>
      <c r="D14" s="3">
        <v>1344.37</v>
      </c>
      <c r="F14" s="3" t="s">
        <v>43</v>
      </c>
      <c r="G14" s="3">
        <v>57.272100000000002</v>
      </c>
      <c r="H14" s="3">
        <v>3.8879999999999999</v>
      </c>
      <c r="I14" s="3">
        <v>1519.55</v>
      </c>
    </row>
    <row r="15" spans="1:13" x14ac:dyDescent="0.25">
      <c r="A15" s="3" t="s">
        <v>44</v>
      </c>
      <c r="B15" s="3">
        <v>60.488300000000002</v>
      </c>
      <c r="C15" s="3">
        <v>3.8519999999999999</v>
      </c>
      <c r="D15" s="3">
        <v>1695.94</v>
      </c>
      <c r="F15" s="3" t="s">
        <v>45</v>
      </c>
      <c r="G15" s="3">
        <v>52.701799999999999</v>
      </c>
      <c r="H15" s="3">
        <v>3.3119999999999998</v>
      </c>
      <c r="I15" s="3">
        <v>1647.55</v>
      </c>
    </row>
    <row r="16" spans="1:13" x14ac:dyDescent="0.25">
      <c r="A16" s="3" t="s">
        <v>46</v>
      </c>
      <c r="B16" s="3">
        <v>59.960900000000002</v>
      </c>
      <c r="C16" s="3">
        <v>4.0140000000000002</v>
      </c>
      <c r="D16" s="3">
        <v>1653.97</v>
      </c>
      <c r="F16" s="3" t="s">
        <v>47</v>
      </c>
      <c r="G16" s="3">
        <v>55.605499999999999</v>
      </c>
      <c r="H16" s="3">
        <v>4.8959999999999999</v>
      </c>
      <c r="I16" s="3">
        <v>1105.07</v>
      </c>
    </row>
    <row r="17" spans="1:9" x14ac:dyDescent="0.25">
      <c r="A17" s="3" t="s">
        <v>48</v>
      </c>
      <c r="B17" s="3">
        <v>50.286499999999997</v>
      </c>
      <c r="C17" s="3">
        <v>3.726</v>
      </c>
      <c r="D17" s="3">
        <v>1403.88</v>
      </c>
      <c r="F17" s="3" t="s">
        <v>49</v>
      </c>
      <c r="G17" s="3">
        <v>70.091099999999997</v>
      </c>
      <c r="H17" s="3">
        <v>5.0579999999999998</v>
      </c>
      <c r="I17" s="3">
        <v>1466.22</v>
      </c>
    </row>
    <row r="18" spans="1:9" x14ac:dyDescent="0.25">
      <c r="A18" s="3" t="s">
        <v>50</v>
      </c>
      <c r="B18" s="3">
        <v>62.1419</v>
      </c>
      <c r="C18" s="3">
        <v>4.6260000000000003</v>
      </c>
      <c r="D18" s="3">
        <v>1621.57</v>
      </c>
      <c r="F18" s="3" t="s">
        <v>51</v>
      </c>
      <c r="G18" s="3">
        <v>53.684899999999999</v>
      </c>
      <c r="H18" s="3">
        <v>3.42</v>
      </c>
      <c r="I18" s="3">
        <v>1657.33</v>
      </c>
    </row>
    <row r="19" spans="1:9" x14ac:dyDescent="0.25">
      <c r="A19" s="3" t="s">
        <v>52</v>
      </c>
      <c r="B19" s="3">
        <v>43.7044</v>
      </c>
      <c r="C19" s="3">
        <v>3.2759999999999998</v>
      </c>
      <c r="D19" s="3">
        <v>1419.43</v>
      </c>
      <c r="F19" s="3" t="s">
        <v>53</v>
      </c>
      <c r="G19" s="3">
        <v>69.928399999999996</v>
      </c>
      <c r="H19" s="3">
        <v>4.968</v>
      </c>
      <c r="I19" s="3">
        <v>1558.16</v>
      </c>
    </row>
    <row r="20" spans="1:9" x14ac:dyDescent="0.25">
      <c r="A20" s="3" t="s">
        <v>54</v>
      </c>
      <c r="B20" s="3">
        <v>70.097700000000003</v>
      </c>
      <c r="C20" s="3">
        <v>5.04</v>
      </c>
      <c r="D20" s="3">
        <v>1551.77</v>
      </c>
      <c r="F20" s="3" t="s">
        <v>55</v>
      </c>
      <c r="G20" s="3">
        <v>77.168000000000006</v>
      </c>
      <c r="H20" s="3">
        <v>5.6159999999999997</v>
      </c>
      <c r="I20" s="3">
        <v>1673.29</v>
      </c>
    </row>
    <row r="21" spans="1:9" x14ac:dyDescent="0.25">
      <c r="A21" s="3" t="s">
        <v>56</v>
      </c>
      <c r="B21" s="3">
        <v>71.282600000000002</v>
      </c>
      <c r="C21" s="3">
        <v>5.1479999999999997</v>
      </c>
      <c r="D21" s="3">
        <v>1596.5</v>
      </c>
      <c r="F21" s="3" t="s">
        <v>57</v>
      </c>
      <c r="G21" s="3">
        <v>49.140599999999999</v>
      </c>
      <c r="H21" s="3">
        <v>3.2040000000000002</v>
      </c>
      <c r="I21" s="3">
        <v>1638.42</v>
      </c>
    </row>
    <row r="22" spans="1:9" x14ac:dyDescent="0.25">
      <c r="A22" s="3" t="s">
        <v>58</v>
      </c>
      <c r="B22" s="3">
        <v>55.559899999999999</v>
      </c>
      <c r="C22" s="3">
        <v>3.7080000000000002</v>
      </c>
      <c r="D22" s="3">
        <v>1608.78</v>
      </c>
      <c r="F22" s="3" t="s">
        <v>59</v>
      </c>
      <c r="G22" s="3">
        <v>79.023399999999995</v>
      </c>
      <c r="H22" s="3">
        <v>4.95</v>
      </c>
      <c r="I22" s="3">
        <v>1756.8</v>
      </c>
    </row>
    <row r="23" spans="1:9" x14ac:dyDescent="0.25">
      <c r="A23" s="3" t="s">
        <v>60</v>
      </c>
      <c r="B23" s="3">
        <v>53.717399999999998</v>
      </c>
      <c r="C23" s="3">
        <v>3.5819999999999999</v>
      </c>
      <c r="D23" s="3">
        <v>1707.94</v>
      </c>
      <c r="F23" s="3" t="s">
        <v>61</v>
      </c>
      <c r="G23" s="3">
        <v>68.828100000000006</v>
      </c>
      <c r="H23" s="3">
        <v>5.0759999999999996</v>
      </c>
      <c r="I23" s="3">
        <v>1469.56</v>
      </c>
    </row>
    <row r="24" spans="1:9" x14ac:dyDescent="0.25">
      <c r="A24" s="3" t="s">
        <v>62</v>
      </c>
      <c r="B24" s="3">
        <v>69.706999999999994</v>
      </c>
      <c r="C24" s="3">
        <v>4.2119999999999997</v>
      </c>
      <c r="D24" s="3">
        <v>1742.23</v>
      </c>
      <c r="F24" s="3" t="s">
        <v>63</v>
      </c>
      <c r="G24" s="3">
        <v>82.265600000000006</v>
      </c>
      <c r="H24" s="3">
        <v>5.31</v>
      </c>
      <c r="I24" s="3">
        <v>1749.63</v>
      </c>
    </row>
    <row r="25" spans="1:9" x14ac:dyDescent="0.25">
      <c r="A25" s="3" t="s">
        <v>64</v>
      </c>
      <c r="B25" s="3">
        <v>57.070300000000003</v>
      </c>
      <c r="C25" s="3">
        <v>3.51</v>
      </c>
      <c r="D25" s="3">
        <v>1729.9</v>
      </c>
      <c r="F25" s="3" t="s">
        <v>65</v>
      </c>
      <c r="G25" s="3">
        <v>76.425799999999995</v>
      </c>
      <c r="H25" s="3">
        <v>5.4180000000000001</v>
      </c>
      <c r="I25" s="3">
        <v>1598.96</v>
      </c>
    </row>
    <row r="26" spans="1:9" x14ac:dyDescent="0.25">
      <c r="A26" s="3" t="s">
        <v>66</v>
      </c>
      <c r="B26" s="3">
        <v>62.207000000000001</v>
      </c>
      <c r="C26" s="3">
        <v>4.3019999999999996</v>
      </c>
      <c r="D26" s="3">
        <v>1510.74</v>
      </c>
      <c r="F26" s="3" t="s">
        <v>67</v>
      </c>
      <c r="G26" s="3">
        <v>61.549500000000002</v>
      </c>
      <c r="H26" s="3">
        <v>4.5540000000000003</v>
      </c>
      <c r="I26" s="3">
        <v>1401.56</v>
      </c>
    </row>
    <row r="27" spans="1:9" x14ac:dyDescent="0.25">
      <c r="A27" s="3" t="s">
        <v>68</v>
      </c>
      <c r="B27" s="3">
        <v>72.584599999999995</v>
      </c>
      <c r="C27" s="3">
        <v>5.04</v>
      </c>
      <c r="D27" s="3">
        <v>1653.86</v>
      </c>
      <c r="F27" s="3" t="s">
        <v>69</v>
      </c>
      <c r="G27" s="3">
        <v>59.192700000000002</v>
      </c>
      <c r="H27" s="3">
        <v>3.8519999999999999</v>
      </c>
      <c r="I27" s="3">
        <v>1649.58</v>
      </c>
    </row>
    <row r="28" spans="1:9" x14ac:dyDescent="0.25">
      <c r="A28" s="3" t="s">
        <v>70</v>
      </c>
      <c r="B28" s="3">
        <v>79.400999999999996</v>
      </c>
      <c r="C28" s="3">
        <v>5.3639999999999999</v>
      </c>
      <c r="D28" s="3">
        <v>1596.16</v>
      </c>
      <c r="F28" s="3" t="s">
        <v>71</v>
      </c>
      <c r="G28" s="3">
        <v>74.531300000000002</v>
      </c>
      <c r="H28" s="3">
        <v>4.9320000000000004</v>
      </c>
      <c r="I28" s="3">
        <v>1550.6</v>
      </c>
    </row>
    <row r="29" spans="1:9" x14ac:dyDescent="0.25">
      <c r="A29" s="3" t="s">
        <v>72</v>
      </c>
      <c r="B29" s="3">
        <v>77.591099999999997</v>
      </c>
      <c r="C29" s="3">
        <v>5.9219999999999997</v>
      </c>
      <c r="D29" s="3">
        <v>1458.52</v>
      </c>
      <c r="F29" s="3" t="s">
        <v>73</v>
      </c>
      <c r="G29" s="3">
        <v>46.308599999999998</v>
      </c>
      <c r="H29" s="3">
        <v>4.4279999999999999</v>
      </c>
      <c r="I29" s="3">
        <v>1161.55</v>
      </c>
    </row>
    <row r="30" spans="1:9" x14ac:dyDescent="0.25">
      <c r="A30" s="3" t="s">
        <v>74</v>
      </c>
      <c r="B30" s="3">
        <v>64.014099999999999</v>
      </c>
      <c r="C30" s="3">
        <v>4.6362899999999998</v>
      </c>
      <c r="D30" s="3">
        <v>1550.72</v>
      </c>
      <c r="F30" s="3" t="s">
        <v>74</v>
      </c>
      <c r="G30" s="3">
        <v>64.114900000000006</v>
      </c>
      <c r="H30" s="3">
        <v>4.5462899999999999</v>
      </c>
      <c r="I30" s="3">
        <v>1529.86</v>
      </c>
    </row>
    <row r="31" spans="1:9" x14ac:dyDescent="0.25">
      <c r="A31" s="3" t="s">
        <v>75</v>
      </c>
      <c r="B31" s="3">
        <v>8.9028600000000004</v>
      </c>
      <c r="C31" s="3">
        <v>0.86328000000000005</v>
      </c>
      <c r="D31" s="3">
        <v>128.816</v>
      </c>
      <c r="F31" s="3" t="s">
        <v>75</v>
      </c>
      <c r="G31" s="3">
        <v>11.104900000000001</v>
      </c>
      <c r="H31" s="3">
        <v>0.74650000000000005</v>
      </c>
      <c r="I31" s="3">
        <v>175.12700000000001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resultadso</vt:lpstr>
      <vt:lpstr>objetivos</vt:lpstr>
      <vt:lpstr>base</vt:lpstr>
      <vt:lpstr>Hoja1</vt:lpstr>
      <vt:lpstr>objetivos!_Toc132666914</vt:lpstr>
      <vt:lpstr>objetivos!_Toc132666915</vt:lpstr>
      <vt:lpstr>objetivos!_Toc132666916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Paula Alejandra Baldión Elorza</dc:creator>
  <cp:keywords/>
  <dc:description/>
  <cp:lastModifiedBy>panamericana</cp:lastModifiedBy>
  <cp:revision/>
  <dcterms:created xsi:type="dcterms:W3CDTF">2023-10-09T16:45:37Z</dcterms:created>
  <dcterms:modified xsi:type="dcterms:W3CDTF">2023-10-17T21:59:23Z</dcterms:modified>
  <cp:category/>
  <cp:contentStatus/>
</cp:coreProperties>
</file>