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39/"/>
    </mc:Choice>
  </mc:AlternateContent>
  <xr:revisionPtr revIDLastSave="0" documentId="8_{F483D006-220A-4F36-A33C-EBAFDE94D6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s (2)" sheetId="6" r:id="rId1"/>
    <sheet name="CLASE I" sheetId="1" r:id="rId2"/>
    <sheet name="CLASE III" sheetId="2" r:id="rId3"/>
    <sheet name="BASE" sheetId="4" r:id="rId4"/>
    <sheet name="......." sheetId="10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AX9" i="4" l="1"/>
  <c r="AM9" i="4"/>
  <c r="AJ9" i="4"/>
  <c r="AJ8" i="4"/>
  <c r="AJ7" i="4"/>
  <c r="AF8" i="4"/>
  <c r="AE8" i="4"/>
  <c r="AD8" i="4"/>
  <c r="O4" i="4" l="1" a="1"/>
  <c r="P4" i="4" l="1"/>
  <c r="O5" i="4"/>
  <c r="P6" i="4"/>
  <c r="O7" i="4"/>
  <c r="P8" i="4"/>
  <c r="Q9" i="4"/>
  <c r="O11" i="4"/>
  <c r="P12" i="4"/>
  <c r="Q13" i="4"/>
  <c r="O15" i="4"/>
  <c r="P16" i="4"/>
  <c r="Q17" i="4"/>
  <c r="O19" i="4"/>
  <c r="P20" i="4"/>
  <c r="Q21" i="4"/>
  <c r="O23" i="4"/>
  <c r="O25" i="4"/>
  <c r="P26" i="4"/>
  <c r="Q27" i="4"/>
  <c r="O29" i="4"/>
  <c r="P30" i="4"/>
  <c r="Q31" i="4"/>
  <c r="O33" i="4"/>
  <c r="O4" i="4"/>
  <c r="Q4" i="4"/>
  <c r="P5" i="4"/>
  <c r="O6" i="4"/>
  <c r="Q6" i="4"/>
  <c r="P7" i="4"/>
  <c r="O8" i="4"/>
  <c r="Q8" i="4"/>
  <c r="P9" i="4"/>
  <c r="O10" i="4"/>
  <c r="Q10" i="4"/>
  <c r="P11" i="4"/>
  <c r="O12" i="4"/>
  <c r="Q12" i="4"/>
  <c r="P13" i="4"/>
  <c r="O14" i="4"/>
  <c r="Q14" i="4"/>
  <c r="P15" i="4"/>
  <c r="O16" i="4"/>
  <c r="Q16" i="4"/>
  <c r="P17" i="4"/>
  <c r="O18" i="4"/>
  <c r="Q18" i="4"/>
  <c r="P19" i="4"/>
  <c r="O20" i="4"/>
  <c r="Q20" i="4"/>
  <c r="P21" i="4"/>
  <c r="O22" i="4"/>
  <c r="Q22" i="4"/>
  <c r="P23" i="4"/>
  <c r="O24" i="4"/>
  <c r="Q24" i="4"/>
  <c r="P25" i="4"/>
  <c r="O26" i="4"/>
  <c r="Q26" i="4"/>
  <c r="P27" i="4"/>
  <c r="O28" i="4"/>
  <c r="Q28" i="4"/>
  <c r="P29" i="4"/>
  <c r="O30" i="4"/>
  <c r="Q30" i="4"/>
  <c r="P31" i="4"/>
  <c r="O32" i="4"/>
  <c r="Q32" i="4"/>
  <c r="P33" i="4"/>
  <c r="Q5" i="4"/>
  <c r="Q7" i="4"/>
  <c r="O9" i="4"/>
  <c r="P10" i="4"/>
  <c r="Q11" i="4"/>
  <c r="O13" i="4"/>
  <c r="P14" i="4"/>
  <c r="Q15" i="4"/>
  <c r="O17" i="4"/>
  <c r="P18" i="4"/>
  <c r="Q19" i="4"/>
  <c r="O21" i="4"/>
  <c r="P22" i="4"/>
  <c r="Q23" i="4"/>
  <c r="P24" i="4"/>
  <c r="Q25" i="4"/>
  <c r="O27" i="4"/>
  <c r="P28" i="4"/>
  <c r="Q29" i="4"/>
  <c r="O31" i="4"/>
  <c r="P32" i="4"/>
  <c r="Q33" i="4"/>
  <c r="S8" i="4" l="1"/>
  <c r="AD6" i="4"/>
  <c r="AW6" i="4"/>
  <c r="AL6" i="4"/>
  <c r="AP8" i="4"/>
  <c r="W10" i="4"/>
  <c r="AZ8" i="4"/>
  <c r="AY8" i="4" s="1"/>
  <c r="AO8" i="4"/>
  <c r="AF7" i="4"/>
  <c r="V10" i="4"/>
  <c r="AN8" i="4"/>
  <c r="U10" i="4"/>
  <c r="AF9" i="4"/>
  <c r="AF10" i="4" s="1"/>
  <c r="X10" i="4"/>
  <c r="T10" i="4"/>
  <c r="AF6" i="4"/>
  <c r="S10" i="4"/>
  <c r="AW8" i="4"/>
  <c r="AL8" i="4"/>
  <c r="AW7" i="4"/>
  <c r="S9" i="4"/>
  <c r="AL7" i="4"/>
  <c r="AE6" i="4"/>
  <c r="AP7" i="4"/>
  <c r="AE7" i="4"/>
  <c r="U9" i="4"/>
  <c r="AO7" i="4"/>
  <c r="X9" i="4"/>
  <c r="T9" i="4"/>
  <c r="AN7" i="4"/>
  <c r="AE9" i="4"/>
  <c r="AE10" i="4" s="1"/>
  <c r="W9" i="4"/>
  <c r="AZ7" i="4"/>
  <c r="AY7" i="4" s="1"/>
  <c r="V9" i="4"/>
  <c r="AP6" i="4"/>
  <c r="AP9" i="4" s="1"/>
  <c r="T16" i="4"/>
  <c r="W8" i="4"/>
  <c r="AZ6" i="4"/>
  <c r="AO6" i="4"/>
  <c r="V8" i="4"/>
  <c r="AN6" i="4"/>
  <c r="AN9" i="4" s="1"/>
  <c r="AD7" i="4"/>
  <c r="U8" i="4"/>
  <c r="AD9" i="4"/>
  <c r="U16" i="4"/>
  <c r="X8" i="4"/>
  <c r="T15" i="4" s="1"/>
  <c r="T8" i="4"/>
  <c r="AG9" i="4" l="1"/>
  <c r="AD10" i="4"/>
  <c r="AG10" i="4" s="1"/>
  <c r="AG11" i="4" s="1"/>
  <c r="AG12" i="4" s="1"/>
  <c r="V16" i="4"/>
  <c r="T14" i="4"/>
  <c r="AY6" i="4"/>
  <c r="AY9" i="4" s="1"/>
  <c r="AY12" i="4"/>
  <c r="BA12" i="4" s="1"/>
  <c r="AZ9" i="4"/>
  <c r="AW12" i="4" s="1"/>
  <c r="AO9" i="4"/>
  <c r="AN12" i="4" s="1"/>
  <c r="AP12" i="4" s="1"/>
  <c r="AG13" i="4"/>
  <c r="U14" i="4"/>
  <c r="AE26" i="6"/>
  <c r="AD26" i="6"/>
  <c r="AC26" i="6"/>
  <c r="Y26" i="6"/>
  <c r="X26" i="6"/>
  <c r="W26" i="6"/>
  <c r="V26" i="6"/>
  <c r="R26" i="6"/>
  <c r="Q26" i="6"/>
  <c r="P26" i="6"/>
  <c r="L26" i="6"/>
  <c r="K26" i="6"/>
  <c r="J26" i="6"/>
  <c r="AF25" i="6"/>
  <c r="Z25" i="6"/>
  <c r="S25" i="6"/>
  <c r="M25" i="6"/>
  <c r="G25" i="6"/>
  <c r="AF24" i="6"/>
  <c r="Z24" i="6"/>
  <c r="S24" i="6"/>
  <c r="M24" i="6"/>
  <c r="G24" i="6"/>
  <c r="AF23" i="6"/>
  <c r="Z23" i="6"/>
  <c r="S23" i="6"/>
  <c r="M23" i="6"/>
  <c r="G23" i="6"/>
  <c r="AF22" i="6"/>
  <c r="Z22" i="6"/>
  <c r="S22" i="6"/>
  <c r="M22" i="6"/>
  <c r="G22" i="6"/>
  <c r="AL12" i="4" l="1"/>
  <c r="AM12" i="4" s="1"/>
  <c r="AO12" i="4" s="1"/>
  <c r="AS12" i="4" s="1"/>
  <c r="AX12" i="4"/>
  <c r="AZ12" i="4" s="1"/>
  <c r="BB12" i="4" s="1"/>
  <c r="AG14" i="4"/>
  <c r="AG16" i="4" s="1"/>
  <c r="U15" i="4"/>
  <c r="V15" i="4" s="1"/>
  <c r="V14" i="4"/>
  <c r="W14" i="4" s="1"/>
  <c r="X14" i="4" s="1"/>
  <c r="AT12" i="4"/>
  <c r="AU12" i="4" l="1"/>
  <c r="AQ12" i="4"/>
  <c r="AR12" i="4"/>
  <c r="Y10" i="4"/>
  <c r="Y9" i="4"/>
  <c r="Y8" i="4"/>
  <c r="Z14" i="4"/>
  <c r="AA14" i="4"/>
  <c r="Y14" i="4"/>
  <c r="Z8" i="4" l="1"/>
  <c r="AA8" i="4"/>
  <c r="AA9" i="4"/>
  <c r="Z9" i="4"/>
  <c r="AA10" i="4"/>
  <c r="Z10" i="4"/>
</calcChain>
</file>

<file path=xl/sharedStrings.xml><?xml version="1.0" encoding="utf-8"?>
<sst xmlns="http://schemas.openxmlformats.org/spreadsheetml/2006/main" count="500" uniqueCount="171">
  <si>
    <t>Ángulo del plano mandibular (MP-FH)</t>
  </si>
  <si>
    <t>Eje facial (Fx)</t>
  </si>
  <si>
    <t>Altura facial inferior (LFH)</t>
  </si>
  <si>
    <t>Indicador de la profundidad del overbite (ODI):</t>
  </si>
  <si>
    <t>Indicador de la displasia anteroposterior (APDI)</t>
  </si>
  <si>
    <t>Ángulo POP (POP-FH)</t>
  </si>
  <si>
    <t>Diff OP</t>
  </si>
  <si>
    <t>Cx</t>
  </si>
  <si>
    <t>Angulo POA POA-Fh</t>
  </si>
  <si>
    <t>9 longitud del cuerpo mandibular COL</t>
  </si>
  <si>
    <t>8. Angulo gonial GOA</t>
  </si>
  <si>
    <t>PACIENTES</t>
  </si>
  <si>
    <t>3.1</t>
  </si>
  <si>
    <t>3.8</t>
  </si>
  <si>
    <t>20-2</t>
  </si>
  <si>
    <t>128,2</t>
  </si>
  <si>
    <t>93,5</t>
  </si>
  <si>
    <t>1,4</t>
  </si>
  <si>
    <t>85.4</t>
  </si>
  <si>
    <t>117.9</t>
  </si>
  <si>
    <t>Prueba</t>
  </si>
  <si>
    <t>Objetivo</t>
  </si>
  <si>
    <t>Analisi exploratorio de datso</t>
  </si>
  <si>
    <t>describir la muestra</t>
  </si>
  <si>
    <t>Shapiro Wilk</t>
  </si>
  <si>
    <t>Determinara si las medidas presentan o no distribicion Normal o mediads o no parametricas</t>
  </si>
  <si>
    <t>Grubbs</t>
  </si>
  <si>
    <t>Determinara kla presencai de datso o medidas atipícas</t>
  </si>
  <si>
    <t>ANOVA I VIA</t>
  </si>
  <si>
    <t>Comparar las caracteristicas morfologicas em mnedidas parametriacs3</t>
  </si>
  <si>
    <t>KRUSKAL WALLIS</t>
  </si>
  <si>
    <t>Comparar las caracteristicas morfologicas em mnedidas no parametriacs4</t>
  </si>
  <si>
    <t>Dunnet</t>
  </si>
  <si>
    <t>Compara la s diferncaios contra un ctrl parametrico</t>
  </si>
  <si>
    <t>Dunn</t>
  </si>
  <si>
    <t>Comrara las medidas contra un ctrl no para,etrico</t>
  </si>
  <si>
    <t>PARAFUNCIÓN</t>
  </si>
  <si>
    <t>SEXO</t>
  </si>
  <si>
    <t>ESTRATO SOCIAL</t>
  </si>
  <si>
    <t>PROCEDENCIA</t>
  </si>
  <si>
    <t>ÁNGULO</t>
  </si>
  <si>
    <t>n</t>
  </si>
  <si>
    <t>%</t>
  </si>
  <si>
    <t>No</t>
  </si>
  <si>
    <t>Si</t>
  </si>
  <si>
    <t>Total general</t>
  </si>
  <si>
    <t>F</t>
  </si>
  <si>
    <t>M</t>
  </si>
  <si>
    <t>E1</t>
  </si>
  <si>
    <t>E2</t>
  </si>
  <si>
    <t>E3</t>
  </si>
  <si>
    <t>ESTRATO</t>
  </si>
  <si>
    <t>Rural</t>
  </si>
  <si>
    <t>Urbana</t>
  </si>
  <si>
    <t>sexo</t>
  </si>
  <si>
    <t>Prom. EDAD</t>
  </si>
  <si>
    <t>CL III ANGULO ALTO</t>
  </si>
  <si>
    <t>CL III ANGULO BAJO</t>
  </si>
  <si>
    <t>CLASE I</t>
  </si>
  <si>
    <t>ANGULO</t>
  </si>
  <si>
    <t>Estadístico</t>
  </si>
  <si>
    <t>8, Angulo gonial GOA</t>
  </si>
  <si>
    <t>Mean</t>
  </si>
  <si>
    <t>Standard Error</t>
  </si>
  <si>
    <t>Median</t>
  </si>
  <si>
    <t>Count</t>
  </si>
  <si>
    <t>Sahpiro Wilk</t>
  </si>
  <si>
    <t>p-value</t>
  </si>
  <si>
    <t>Grubbs/ESD Test</t>
  </si>
  <si>
    <t>Diferencias de las Cracateristiocas Morfolgicas</t>
  </si>
  <si>
    <t>Levene's Tests</t>
  </si>
  <si>
    <t>Test</t>
  </si>
  <si>
    <t>Ángulo del plano mandibular (MP-FH) (KW)</t>
  </si>
  <si>
    <t>-</t>
  </si>
  <si>
    <t>Eje facial (Fx) (ANOVA)</t>
  </si>
  <si>
    <t>Altura facial inferior (LFH)(ANOVA)</t>
  </si>
  <si>
    <t>Indicador de la profundidad del overbite (ODI) (ANOVA)</t>
  </si>
  <si>
    <t>Indicador de la displasia anteroposterior (APDI) (KW)</t>
  </si>
  <si>
    <t>Ángulo POP (POP-FH) (KW)</t>
  </si>
  <si>
    <t>Diff OP (ANOVA)</t>
  </si>
  <si>
    <t>Cx (ANOVA)</t>
  </si>
  <si>
    <t>Angulo POA POA-Fh (ANOVA)</t>
  </si>
  <si>
    <t>longitud del cuerpo mandibular COL (ANOVA)</t>
  </si>
  <si>
    <t>8, Angulo gonial GOA (KW)</t>
  </si>
  <si>
    <t>EDAD</t>
  </si>
  <si>
    <t>GÉNERO</t>
  </si>
  <si>
    <t>ESTRATO SOC</t>
  </si>
  <si>
    <t>PARAFUNCION</t>
  </si>
  <si>
    <t>24.8</t>
  </si>
  <si>
    <t>88-1</t>
  </si>
  <si>
    <t>CLASE</t>
  </si>
  <si>
    <t>CLASE III</t>
  </si>
  <si>
    <t>CLASE III ÁNGULO BAJO</t>
  </si>
  <si>
    <t>CLASE III ÁNGULO ALTO</t>
  </si>
  <si>
    <t>SE DEJO COMO EL ANTERIOR CASO</t>
  </si>
  <si>
    <t>Sum</t>
  </si>
  <si>
    <t>alpha</t>
  </si>
  <si>
    <t>Input in Excel Anova format</t>
  </si>
  <si>
    <t>ANOVA: Single Factor</t>
  </si>
  <si>
    <t>DESCRIPTION</t>
  </si>
  <si>
    <t>Alpha</t>
  </si>
  <si>
    <t>Groups</t>
  </si>
  <si>
    <t>Variance</t>
  </si>
  <si>
    <t>SS</t>
  </si>
  <si>
    <t>Std Err</t>
  </si>
  <si>
    <t>Lower</t>
  </si>
  <si>
    <t>Upper</t>
  </si>
  <si>
    <t>ANOVA</t>
  </si>
  <si>
    <t>Sources</t>
  </si>
  <si>
    <t>df</t>
  </si>
  <si>
    <t>MS</t>
  </si>
  <si>
    <t>P value</t>
  </si>
  <si>
    <t>F crit</t>
  </si>
  <si>
    <t>RMSSE</t>
  </si>
  <si>
    <t>Omega Sq</t>
  </si>
  <si>
    <t>Between Groups</t>
  </si>
  <si>
    <t>Within Groups</t>
  </si>
  <si>
    <t>Total</t>
  </si>
  <si>
    <t>Kruskal-Wallis Test</t>
  </si>
  <si>
    <t>median</t>
  </si>
  <si>
    <t>rank sum</t>
  </si>
  <si>
    <t>count</t>
  </si>
  <si>
    <t>r^2/n</t>
  </si>
  <si>
    <t>H-stat</t>
  </si>
  <si>
    <t>H-ties</t>
  </si>
  <si>
    <t>sig</t>
  </si>
  <si>
    <t>type</t>
  </si>
  <si>
    <t>means</t>
  </si>
  <si>
    <t>medians</t>
  </si>
  <si>
    <t>trimmed</t>
  </si>
  <si>
    <t>CONTRAST</t>
  </si>
  <si>
    <t>c</t>
  </si>
  <si>
    <t>mean</t>
  </si>
  <si>
    <t>ss</t>
  </si>
  <si>
    <t>T TEST</t>
  </si>
  <si>
    <t>std err</t>
  </si>
  <si>
    <t>t-stat</t>
  </si>
  <si>
    <t>t-crit</t>
  </si>
  <si>
    <t>lower</t>
  </si>
  <si>
    <t>upper</t>
  </si>
  <si>
    <t>Cohen d</t>
  </si>
  <si>
    <t>effect r</t>
  </si>
  <si>
    <t>CONTRAST KW</t>
  </si>
  <si>
    <t>R-mean</t>
  </si>
  <si>
    <t>CHI-SQ TEST</t>
  </si>
  <si>
    <t>chi-sq</t>
  </si>
  <si>
    <t>chi-crit</t>
  </si>
  <si>
    <t>CLASE I a</t>
  </si>
  <si>
    <t>CLASE III ÁNGULO ALTO a</t>
  </si>
  <si>
    <t>CLASE III ÁNGULO BAJO b</t>
  </si>
  <si>
    <t>CLASE III ÁNGULO ALTO b</t>
  </si>
  <si>
    <t>CLASE III ÁNGULO BAJO c</t>
  </si>
  <si>
    <t>CLASE III ÁNGULO ALTO ac</t>
  </si>
  <si>
    <t>Shapiro Wilk p-value</t>
  </si>
  <si>
    <t>Levene's Tests p-value</t>
  </si>
  <si>
    <t>Test KW/ANOVA I p-value</t>
  </si>
  <si>
    <t>CLASE III ANGULO ALTO</t>
  </si>
  <si>
    <t>CLASE III ANGULO BAJO</t>
  </si>
  <si>
    <t>CLASE I VS ANG ALTO</t>
  </si>
  <si>
    <t>CLASE I VS ANG BAJO</t>
  </si>
  <si>
    <t>ANG ALTO VS ANG BAJO</t>
  </si>
  <si>
    <t>MP-FH (KW)</t>
  </si>
  <si>
    <t>Fx (ANOVA)</t>
  </si>
  <si>
    <t>LFH (ANOVA)</t>
  </si>
  <si>
    <t>ODI (ANOVA)</t>
  </si>
  <si>
    <t>CLASE I CONTROL</t>
  </si>
  <si>
    <t>APDI (KW)</t>
  </si>
  <si>
    <t>POP-FH (KW)</t>
  </si>
  <si>
    <t>POA-FH (ANOVA)</t>
  </si>
  <si>
    <t xml:space="preserve"> COL (ANOVA)</t>
  </si>
  <si>
    <t>GOA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</si>
</sst>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"/>
    <numFmt numFmtId="165" formatCode="0.0%"/>
    <numFmt numFmtId="166" formatCode="0.0E+00"/>
    <numFmt numFmtId="167" formatCode="0.000"/>
    <numFmt numFmtId="168" formatCode="_-* #,##0.0_-;\-* #,##0.0_-;_-* &quot;-&quot;_-;_-@_-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Arial Black"/>
      <family val="2"/>
    </font>
    <font>
      <b/>
      <sz val="8"/>
      <color theme="1"/>
      <name val="Arial Black"/>
      <family val="2"/>
    </font>
    <font>
      <sz val="8"/>
      <name val="Arial Black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9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0" fillId="0" borderId="0" xfId="0" applyAlignment="1">
      <alignment horizontal="left"/>
    </xf>
    <xf numFmtId="165" fontId="4" fillId="0" borderId="0" xfId="2" applyNumberFormat="1" applyFont="1"/>
    <xf numFmtId="164" fontId="0" fillId="0" borderId="0" xfId="0" applyNumberFormat="1"/>
    <xf numFmtId="0" fontId="6" fillId="3" borderId="3" xfId="0" applyFont="1" applyFill="1" applyBorder="1" applyAlignment="1">
      <alignment horizontal="left"/>
    </xf>
    <xf numFmtId="0" fontId="6" fillId="3" borderId="3" xfId="0" applyFont="1" applyFill="1" applyBorder="1"/>
    <xf numFmtId="164" fontId="6" fillId="3" borderId="3" xfId="0" applyNumberFormat="1" applyFont="1" applyFill="1" applyBorder="1"/>
    <xf numFmtId="9" fontId="6" fillId="3" borderId="3" xfId="2" applyFont="1" applyFill="1" applyBorder="1"/>
    <xf numFmtId="165" fontId="6" fillId="3" borderId="3" xfId="2" applyNumberFormat="1" applyFont="1" applyFill="1" applyBorder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/>
    <xf numFmtId="2" fontId="5" fillId="0" borderId="1" xfId="0" applyNumberFormat="1" applyFont="1" applyBorder="1"/>
    <xf numFmtId="0" fontId="0" fillId="0" borderId="6" xfId="0" applyBorder="1" applyAlignment="1">
      <alignment horizontal="left"/>
    </xf>
    <xf numFmtId="2" fontId="0" fillId="0" borderId="6" xfId="0" applyNumberFormat="1" applyBorder="1"/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horizontal="left"/>
    </xf>
    <xf numFmtId="2" fontId="0" fillId="0" borderId="11" xfId="0" applyNumberFormat="1" applyBorder="1"/>
    <xf numFmtId="0" fontId="0" fillId="0" borderId="11" xfId="0" applyBorder="1" applyAlignment="1">
      <alignment vertical="center" wrapText="1"/>
    </xf>
    <xf numFmtId="167" fontId="0" fillId="0" borderId="12" xfId="0" applyNumberFormat="1" applyBorder="1"/>
    <xf numFmtId="2" fontId="0" fillId="0" borderId="12" xfId="0" applyNumberFormat="1" applyBorder="1"/>
    <xf numFmtId="167" fontId="5" fillId="0" borderId="7" xfId="0" applyNumberFormat="1" applyFont="1" applyBorder="1"/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0" xfId="0" applyFont="1"/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" fillId="0" borderId="27" xfId="0" applyFont="1" applyBorder="1" applyAlignment="1">
      <alignment horizontal="center"/>
    </xf>
    <xf numFmtId="0" fontId="0" fillId="0" borderId="28" xfId="0" applyBorder="1"/>
    <xf numFmtId="0" fontId="0" fillId="0" borderId="15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6" xfId="0" applyBorder="1"/>
    <xf numFmtId="0" fontId="0" fillId="5" borderId="0" xfId="0" applyFill="1"/>
    <xf numFmtId="0" fontId="0" fillId="0" borderId="29" xfId="0" applyBorder="1"/>
    <xf numFmtId="0" fontId="0" fillId="0" borderId="29" xfId="0" applyBorder="1" applyAlignment="1">
      <alignment horizontal="center"/>
    </xf>
    <xf numFmtId="11" fontId="0" fillId="0" borderId="0" xfId="0" applyNumberFormat="1"/>
    <xf numFmtId="11" fontId="5" fillId="0" borderId="0" xfId="0" applyNumberFormat="1" applyFont="1"/>
    <xf numFmtId="0" fontId="0" fillId="4" borderId="4" xfId="0" applyFill="1" applyBorder="1"/>
    <xf numFmtId="0" fontId="0" fillId="4" borderId="1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2" fontId="0" fillId="4" borderId="6" xfId="0" applyNumberFormat="1" applyFill="1" applyBorder="1"/>
    <xf numFmtId="11" fontId="5" fillId="4" borderId="0" xfId="0" applyNumberFormat="1" applyFont="1" applyFill="1"/>
    <xf numFmtId="2" fontId="11" fillId="4" borderId="6" xfId="0" applyNumberFormat="1" applyFont="1" applyFill="1" applyBorder="1" applyAlignment="1">
      <alignment vertical="center" wrapText="1"/>
    </xf>
    <xf numFmtId="166" fontId="5" fillId="4" borderId="7" xfId="0" applyNumberFormat="1" applyFont="1" applyFill="1" applyBorder="1"/>
    <xf numFmtId="2" fontId="0" fillId="4" borderId="1" xfId="0" applyNumberFormat="1" applyFill="1" applyBorder="1"/>
    <xf numFmtId="0" fontId="0" fillId="4" borderId="1" xfId="0" applyFill="1" applyBorder="1" applyAlignment="1">
      <alignment vertical="center" wrapText="1"/>
    </xf>
    <xf numFmtId="166" fontId="5" fillId="4" borderId="9" xfId="0" applyNumberFormat="1" applyFont="1" applyFill="1" applyBorder="1"/>
    <xf numFmtId="2" fontId="0" fillId="4" borderId="11" xfId="0" applyNumberFormat="1" applyFill="1" applyBorder="1"/>
    <xf numFmtId="0" fontId="0" fillId="4" borderId="11" xfId="0" applyFill="1" applyBorder="1" applyAlignment="1">
      <alignment vertical="center" wrapText="1"/>
    </xf>
    <xf numFmtId="0" fontId="0" fillId="4" borderId="12" xfId="0" applyFill="1" applyBorder="1"/>
    <xf numFmtId="0" fontId="0" fillId="4" borderId="16" xfId="0" applyFill="1" applyBorder="1"/>
    <xf numFmtId="2" fontId="0" fillId="4" borderId="6" xfId="0" applyNumberFormat="1" applyFill="1" applyBorder="1" applyAlignment="1">
      <alignment vertical="center" wrapText="1"/>
    </xf>
    <xf numFmtId="2" fontId="0" fillId="4" borderId="7" xfId="0" applyNumberFormat="1" applyFill="1" applyBorder="1"/>
    <xf numFmtId="0" fontId="0" fillId="4" borderId="17" xfId="0" applyFill="1" applyBorder="1"/>
    <xf numFmtId="2" fontId="0" fillId="4" borderId="9" xfId="0" applyNumberFormat="1" applyFill="1" applyBorder="1"/>
    <xf numFmtId="0" fontId="0" fillId="4" borderId="18" xfId="0" applyFill="1" applyBorder="1"/>
    <xf numFmtId="2" fontId="11" fillId="4" borderId="7" xfId="0" applyNumberFormat="1" applyFont="1" applyFill="1" applyBorder="1"/>
    <xf numFmtId="0" fontId="11" fillId="4" borderId="1" xfId="0" applyFont="1" applyFill="1" applyBorder="1" applyAlignment="1">
      <alignment vertical="center" wrapText="1"/>
    </xf>
    <xf numFmtId="2" fontId="11" fillId="4" borderId="9" xfId="0" applyNumberFormat="1" applyFont="1" applyFill="1" applyBorder="1"/>
    <xf numFmtId="0" fontId="11" fillId="4" borderId="11" xfId="0" applyFont="1" applyFill="1" applyBorder="1" applyAlignment="1">
      <alignment vertical="center" wrapText="1"/>
    </xf>
    <xf numFmtId="0" fontId="11" fillId="4" borderId="12" xfId="0" applyFont="1" applyFill="1" applyBorder="1"/>
    <xf numFmtId="0" fontId="8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0" xfId="0" applyFill="1"/>
    <xf numFmtId="166" fontId="5" fillId="4" borderId="6" xfId="0" applyNumberFormat="1" applyFont="1" applyFill="1" applyBorder="1" applyAlignment="1">
      <alignment vertical="center" wrapText="1"/>
    </xf>
    <xf numFmtId="167" fontId="5" fillId="4" borderId="6" xfId="0" applyNumberFormat="1" applyFont="1" applyFill="1" applyBorder="1" applyAlignment="1">
      <alignment vertical="center" wrapText="1"/>
    </xf>
    <xf numFmtId="2" fontId="11" fillId="4" borderId="6" xfId="0" applyNumberFormat="1" applyFont="1" applyFill="1" applyBorder="1"/>
    <xf numFmtId="167" fontId="0" fillId="4" borderId="6" xfId="0" applyNumberFormat="1" applyFill="1" applyBorder="1" applyAlignment="1">
      <alignment vertical="center" wrapText="1"/>
    </xf>
    <xf numFmtId="2" fontId="5" fillId="4" borderId="1" xfId="0" applyNumberFormat="1" applyFont="1" applyFill="1" applyBorder="1"/>
    <xf numFmtId="167" fontId="0" fillId="4" borderId="1" xfId="0" applyNumberFormat="1" applyFill="1" applyBorder="1" applyAlignment="1">
      <alignment vertical="center" wrapText="1"/>
    </xf>
    <xf numFmtId="167" fontId="0" fillId="4" borderId="11" xfId="0" applyNumberFormat="1" applyFill="1" applyBorder="1" applyAlignment="1">
      <alignment vertical="center" wrapText="1"/>
    </xf>
    <xf numFmtId="167" fontId="0" fillId="4" borderId="12" xfId="0" applyNumberFormat="1" applyFill="1" applyBorder="1"/>
    <xf numFmtId="2" fontId="0" fillId="4" borderId="6" xfId="0" applyNumberFormat="1" applyFill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2" fontId="5" fillId="4" borderId="11" xfId="0" applyNumberFormat="1" applyFont="1" applyFill="1" applyBorder="1"/>
    <xf numFmtId="2" fontId="0" fillId="4" borderId="11" xfId="0" applyNumberFormat="1" applyFill="1" applyBorder="1" applyAlignment="1">
      <alignment vertical="center"/>
    </xf>
    <xf numFmtId="2" fontId="5" fillId="4" borderId="6" xfId="0" applyNumberFormat="1" applyFont="1" applyFill="1" applyBorder="1"/>
    <xf numFmtId="2" fontId="5" fillId="4" borderId="7" xfId="0" applyNumberFormat="1" applyFont="1" applyFill="1" applyBorder="1"/>
    <xf numFmtId="2" fontId="5" fillId="4" borderId="9" xfId="0" applyNumberFormat="1" applyFont="1" applyFill="1" applyBorder="1"/>
    <xf numFmtId="2" fontId="0" fillId="4" borderId="12" xfId="0" applyNumberFormat="1" applyFill="1" applyBorder="1"/>
    <xf numFmtId="0" fontId="5" fillId="0" borderId="1" xfId="0" applyFont="1" applyBorder="1" applyAlignment="1">
      <alignment vertical="center" wrapText="1"/>
    </xf>
    <xf numFmtId="168" fontId="0" fillId="0" borderId="0" xfId="1" applyNumberFormat="1" applyFont="1" applyAlignment="1"/>
    <xf numFmtId="167" fontId="11" fillId="0" borderId="6" xfId="0" applyNumberFormat="1" applyFont="1" applyBorder="1" applyAlignment="1">
      <alignment vertical="center" wrapText="1"/>
    </xf>
    <xf numFmtId="164" fontId="0" fillId="0" borderId="6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167" fontId="0" fillId="0" borderId="1" xfId="0" applyNumberFormat="1" applyBorder="1"/>
    <xf numFmtId="167" fontId="0" fillId="0" borderId="6" xfId="0" applyNumberFormat="1" applyBorder="1"/>
    <xf numFmtId="0" fontId="0" fillId="0" borderId="4" xfId="0" applyBorder="1"/>
    <xf numFmtId="11" fontId="5" fillId="0" borderId="6" xfId="0" applyNumberFormat="1" applyFont="1" applyBorder="1"/>
    <xf numFmtId="2" fontId="11" fillId="0" borderId="6" xfId="0" applyNumberFormat="1" applyFont="1" applyBorder="1" applyAlignment="1">
      <alignment vertical="center" wrapText="1"/>
    </xf>
    <xf numFmtId="166" fontId="5" fillId="0" borderId="7" xfId="0" applyNumberFormat="1" applyFont="1" applyBorder="1"/>
    <xf numFmtId="166" fontId="5" fillId="0" borderId="9" xfId="0" applyNumberFormat="1" applyFont="1" applyBorder="1"/>
    <xf numFmtId="167" fontId="0" fillId="0" borderId="11" xfId="0" applyNumberFormat="1" applyBorder="1"/>
    <xf numFmtId="0" fontId="0" fillId="0" borderId="12" xfId="0" applyBorder="1"/>
    <xf numFmtId="2" fontId="0" fillId="0" borderId="6" xfId="0" applyNumberFormat="1" applyBorder="1" applyAlignment="1">
      <alignment vertical="center" wrapText="1"/>
    </xf>
    <xf numFmtId="2" fontId="0" fillId="0" borderId="7" xfId="0" applyNumberFormat="1" applyBorder="1"/>
    <xf numFmtId="2" fontId="0" fillId="0" borderId="9" xfId="0" applyNumberFormat="1" applyBorder="1"/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/>
    <xf numFmtId="166" fontId="5" fillId="0" borderId="6" xfId="0" applyNumberFormat="1" applyFont="1" applyBorder="1" applyAlignment="1">
      <alignment vertical="center" wrapText="1"/>
    </xf>
    <xf numFmtId="167" fontId="11" fillId="0" borderId="6" xfId="0" applyNumberFormat="1" applyFont="1" applyBorder="1"/>
    <xf numFmtId="167" fontId="0" fillId="0" borderId="6" xfId="0" applyNumberFormat="1" applyBorder="1" applyAlignment="1">
      <alignment vertical="center" wrapText="1"/>
    </xf>
    <xf numFmtId="167" fontId="5" fillId="0" borderId="1" xfId="0" applyNumberFormat="1" applyFont="1" applyBorder="1"/>
    <xf numFmtId="167" fontId="0" fillId="0" borderId="1" xfId="0" applyNumberFormat="1" applyBorder="1" applyAlignment="1">
      <alignment vertical="center" wrapText="1"/>
    </xf>
    <xf numFmtId="167" fontId="0" fillId="0" borderId="11" xfId="0" applyNumberFormat="1" applyBorder="1" applyAlignment="1">
      <alignment vertical="center" wrapText="1"/>
    </xf>
    <xf numFmtId="2" fontId="0" fillId="0" borderId="6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167" fontId="5" fillId="0" borderId="11" xfId="0" applyNumberFormat="1" applyFont="1" applyBorder="1"/>
    <xf numFmtId="2" fontId="0" fillId="0" borderId="11" xfId="0" applyNumberFormat="1" applyBorder="1" applyAlignment="1">
      <alignment vertical="center"/>
    </xf>
    <xf numFmtId="167" fontId="5" fillId="0" borderId="6" xfId="0" applyNumberFormat="1" applyFont="1" applyBorder="1"/>
    <xf numFmtId="2" fontId="5" fillId="0" borderId="7" xfId="0" applyNumberFormat="1" applyFont="1" applyBorder="1"/>
    <xf numFmtId="2" fontId="5" fillId="0" borderId="9" xfId="0" applyNumberFormat="1" applyFont="1" applyBorder="1"/>
    <xf numFmtId="11" fontId="5" fillId="0" borderId="7" xfId="0" applyNumberFormat="1" applyFont="1" applyBorder="1"/>
    <xf numFmtId="11" fontId="5" fillId="0" borderId="9" xfId="0" applyNumberFormat="1" applyFont="1" applyBorder="1"/>
    <xf numFmtId="164" fontId="0" fillId="0" borderId="6" xfId="1" applyNumberFormat="1" applyFont="1" applyFill="1" applyBorder="1" applyAlignment="1"/>
    <xf numFmtId="0" fontId="0" fillId="0" borderId="4" xfId="0" applyBorder="1" applyAlignment="1">
      <alignment horizontal="center" vertical="center" wrapText="1"/>
    </xf>
    <xf numFmtId="167" fontId="0" fillId="0" borderId="0" xfId="0" applyNumberFormat="1"/>
    <xf numFmtId="167" fontId="5" fillId="0" borderId="0" xfId="0" applyNumberFormat="1" applyFont="1"/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64" fontId="14" fillId="2" borderId="13" xfId="0" applyNumberFormat="1" applyFont="1" applyFill="1" applyBorder="1" applyAlignment="1">
      <alignment horizontal="center"/>
    </xf>
    <xf numFmtId="164" fontId="14" fillId="2" borderId="32" xfId="0" applyNumberFormat="1" applyFont="1" applyFill="1" applyBorder="1" applyAlignment="1">
      <alignment horizontal="center"/>
    </xf>
    <xf numFmtId="164" fontId="14" fillId="2" borderId="34" xfId="0" applyNumberFormat="1" applyFont="1" applyFill="1" applyBorder="1" applyAlignment="1">
      <alignment horizontal="center"/>
    </xf>
    <xf numFmtId="164" fontId="14" fillId="2" borderId="3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166" fontId="15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 wrapText="1"/>
    </xf>
    <xf numFmtId="164" fontId="14" fillId="2" borderId="11" xfId="0" applyNumberFormat="1" applyFont="1" applyFill="1" applyBorder="1" applyAlignment="1">
      <alignment horizontal="center"/>
    </xf>
    <xf numFmtId="164" fontId="14" fillId="2" borderId="11" xfId="1" applyNumberFormat="1" applyFont="1" applyFill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166" fontId="15" fillId="0" borderId="8" xfId="0" applyNumberFormat="1" applyFont="1" applyBorder="1" applyAlignment="1">
      <alignment horizontal="center" vertical="center" wrapText="1"/>
    </xf>
    <xf numFmtId="167" fontId="15" fillId="0" borderId="8" xfId="0" applyNumberFormat="1" applyFont="1" applyBorder="1" applyAlignment="1">
      <alignment horizontal="center" vertical="center" wrapText="1"/>
    </xf>
    <xf numFmtId="167" fontId="14" fillId="0" borderId="8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/>
    </xf>
    <xf numFmtId="167" fontId="13" fillId="0" borderId="10" xfId="0" applyNumberFormat="1" applyFont="1" applyBorder="1" applyAlignment="1">
      <alignment horizontal="center" vertical="center" wrapText="1"/>
    </xf>
    <xf numFmtId="164" fontId="13" fillId="2" borderId="32" xfId="0" applyNumberFormat="1" applyFont="1" applyFill="1" applyBorder="1" applyAlignment="1">
      <alignment horizontal="center"/>
    </xf>
    <xf numFmtId="0" fontId="12" fillId="7" borderId="36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164" fontId="13" fillId="2" borderId="39" xfId="0" applyNumberFormat="1" applyFont="1" applyFill="1" applyBorder="1" applyAlignment="1">
      <alignment horizontal="center"/>
    </xf>
    <xf numFmtId="164" fontId="13" fillId="2" borderId="40" xfId="0" applyNumberFormat="1" applyFont="1" applyFill="1" applyBorder="1" applyAlignment="1">
      <alignment horizontal="center"/>
    </xf>
    <xf numFmtId="164" fontId="14" fillId="0" borderId="40" xfId="0" applyNumberFormat="1" applyFont="1" applyBorder="1" applyAlignment="1">
      <alignment horizontal="center"/>
    </xf>
    <xf numFmtId="164" fontId="14" fillId="2" borderId="40" xfId="0" applyNumberFormat="1" applyFont="1" applyFill="1" applyBorder="1" applyAlignment="1">
      <alignment horizontal="center"/>
    </xf>
    <xf numFmtId="164" fontId="14" fillId="2" borderId="41" xfId="0" applyNumberFormat="1" applyFont="1" applyFill="1" applyBorder="1" applyAlignment="1">
      <alignment horizontal="center"/>
    </xf>
    <xf numFmtId="2" fontId="13" fillId="0" borderId="42" xfId="0" applyNumberFormat="1" applyFont="1" applyBorder="1" applyAlignment="1">
      <alignment horizontal="center" vertical="center" wrapText="1"/>
    </xf>
    <xf numFmtId="166" fontId="15" fillId="0" borderId="40" xfId="0" applyNumberFormat="1" applyFont="1" applyBorder="1" applyAlignment="1">
      <alignment horizontal="center" vertical="center"/>
    </xf>
    <xf numFmtId="166" fontId="15" fillId="0" borderId="43" xfId="0" applyNumberFormat="1" applyFont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/>
    </xf>
    <xf numFmtId="166" fontId="15" fillId="0" borderId="8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11" fontId="15" fillId="0" borderId="8" xfId="0" applyNumberFormat="1" applyFont="1" applyBorder="1" applyAlignment="1">
      <alignment horizontal="center" vertical="center"/>
    </xf>
    <xf numFmtId="11" fontId="15" fillId="0" borderId="1" xfId="0" applyNumberFormat="1" applyFont="1" applyBorder="1" applyAlignment="1">
      <alignment horizontal="center" vertical="center"/>
    </xf>
    <xf numFmtId="11" fontId="15" fillId="0" borderId="9" xfId="0" applyNumberFormat="1" applyFont="1" applyBorder="1" applyAlignment="1">
      <alignment horizontal="center" vertical="center"/>
    </xf>
    <xf numFmtId="167" fontId="15" fillId="0" borderId="11" xfId="0" applyNumberFormat="1" applyFont="1" applyBorder="1" applyAlignment="1">
      <alignment horizontal="center" vertical="center"/>
    </xf>
    <xf numFmtId="11" fontId="15" fillId="0" borderId="12" xfId="0" applyNumberFormat="1" applyFont="1" applyBorder="1" applyAlignment="1">
      <alignment horizontal="center" vertical="center"/>
    </xf>
    <xf numFmtId="166" fontId="15" fillId="0" borderId="8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166" fontId="15" fillId="0" borderId="9" xfId="0" applyNumberFormat="1" applyFont="1" applyBorder="1" applyAlignment="1">
      <alignment horizontal="right" vertical="center" wrapText="1"/>
    </xf>
    <xf numFmtId="164" fontId="0" fillId="0" borderId="6" xfId="0" applyNumberFormat="1" applyBorder="1" applyAlignment="1">
      <alignment horizontal="right"/>
    </xf>
    <xf numFmtId="11" fontId="5" fillId="0" borderId="6" xfId="0" applyNumberFormat="1" applyFont="1" applyBorder="1" applyAlignment="1">
      <alignment horizontal="right"/>
    </xf>
    <xf numFmtId="167" fontId="5" fillId="0" borderId="6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166" fontId="15" fillId="0" borderId="43" xfId="0" applyNumberFormat="1" applyFont="1" applyBorder="1" applyAlignment="1">
      <alignment horizontal="right" vertical="center"/>
    </xf>
    <xf numFmtId="164" fontId="0" fillId="0" borderId="11" xfId="0" applyNumberFormat="1" applyBorder="1" applyAlignment="1">
      <alignment horizontal="right"/>
    </xf>
    <xf numFmtId="167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2" fontId="13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1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66" fontId="5" fillId="0" borderId="6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11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166" fontId="0" fillId="0" borderId="1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67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166" fontId="5" fillId="4" borderId="6" xfId="0" applyNumberFormat="1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166" fontId="5" fillId="4" borderId="1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 wrapText="1"/>
    </xf>
    <xf numFmtId="2" fontId="11" fillId="4" borderId="6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2" fontId="11" fillId="4" borderId="11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167" fontId="5" fillId="4" borderId="6" xfId="0" applyNumberFormat="1" applyFont="1" applyFill="1" applyBorder="1" applyAlignment="1">
      <alignment horizontal="center" vertical="center" wrapText="1"/>
    </xf>
    <xf numFmtId="167" fontId="5" fillId="4" borderId="1" xfId="0" applyNumberFormat="1" applyFont="1" applyFill="1" applyBorder="1" applyAlignment="1">
      <alignment horizontal="center" vertical="center" wrapText="1"/>
    </xf>
    <xf numFmtId="167" fontId="5" fillId="4" borderId="11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14" fillId="7" borderId="35" xfId="0" applyFont="1" applyFill="1" applyBorder="1" applyAlignment="1">
      <alignment horizontal="center"/>
    </xf>
    <xf numFmtId="0" fontId="14" fillId="7" borderId="37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 vertic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Ángulo del plano mandibular (MP-FH)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509-495E-8850-A315F4EABE56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509-495E-8850-A315F4EABE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(2)'!$F$77:$F$79</c:f>
              <c:strCache>
                <c:ptCount val="3"/>
                <c:pt idx="0">
                  <c:v>CLASE I</c:v>
                </c:pt>
                <c:pt idx="1">
                  <c:v>CLASE III ÁNGULO ALTO</c:v>
                </c:pt>
                <c:pt idx="2">
                  <c:v>CLASE III ÁNGULO BAJO</c:v>
                </c:pt>
              </c:strCache>
            </c:strRef>
          </c:cat>
          <c:val>
            <c:numRef>
              <c:f>'resultados (2)'!$G$77:$G$79</c:f>
              <c:numCache>
                <c:formatCode>0.0</c:formatCode>
                <c:ptCount val="3"/>
                <c:pt idx="0">
                  <c:v>25.951724137931034</c:v>
                </c:pt>
                <c:pt idx="1">
                  <c:v>32.39</c:v>
                </c:pt>
                <c:pt idx="2">
                  <c:v>19.078947368421051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09-495E-8850-A315F4EAB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496880"/>
        <c:axId val="163498000"/>
      </c:barChart>
      <c:catAx>
        <c:axId val="163496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Kruskal-Wallis Test p-value=</a:t>
                </a:r>
                <a:r>
                  <a:rPr lang="es-CO">
                    <a:solidFill>
                      <a:srgbClr val="FF0000"/>
                    </a:solidFill>
                  </a:rPr>
                  <a:t>6,0e-09</a:t>
                </a:r>
              </a:p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Dunn´s Test: different letters mean significant difference</a:t>
                </a:r>
              </a:p>
            </c:rich>
          </c:tx>
          <c:layout>
            <c:manualLayout>
              <c:xMode val="edge"/>
              <c:yMode val="edge"/>
              <c:x val="5.1423884514435695E-3"/>
              <c:y val="0.873101851851851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498000"/>
        <c:crosses val="autoZero"/>
        <c:auto val="1"/>
        <c:lblAlgn val="ctr"/>
        <c:lblOffset val="100"/>
        <c:noMultiLvlLbl val="0"/>
      </c:catAx>
      <c:valAx>
        <c:axId val="16349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496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Angulo gonial GOA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DA-4E91-B3C8-57B2ED87D92E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DA-4E91-B3C8-57B2ED87D92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(2)'!$F$107:$F$109</c:f>
              <c:strCache>
                <c:ptCount val="3"/>
                <c:pt idx="0">
                  <c:v>CLASE I a</c:v>
                </c:pt>
                <c:pt idx="1">
                  <c:v>CLASE III ÁNGULO ALTO a</c:v>
                </c:pt>
                <c:pt idx="2">
                  <c:v>CLASE III ÁNGULO BAJO b</c:v>
                </c:pt>
              </c:strCache>
            </c:strRef>
          </c:cat>
          <c:val>
            <c:numRef>
              <c:f>'resultados (2)'!$G$107:$G$109</c:f>
              <c:numCache>
                <c:formatCode>0.0</c:formatCode>
                <c:ptCount val="3"/>
                <c:pt idx="0">
                  <c:v>124.13103448275861</c:v>
                </c:pt>
                <c:pt idx="1">
                  <c:v>131.95999999999998</c:v>
                </c:pt>
                <c:pt idx="2">
                  <c:v>118.83684210526316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DA-4E91-B3C8-57B2ED87D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019216"/>
        <c:axId val="243019776"/>
      </c:barChart>
      <c:catAx>
        <c:axId val="243019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baseline="0">
                    <a:effectLst/>
                  </a:rPr>
                  <a:t>Kruskal-Wallis Test p-value=</a:t>
                </a:r>
                <a:r>
                  <a:rPr lang="es-CO" sz="1000" b="1" i="0" baseline="0">
                    <a:solidFill>
                      <a:srgbClr val="FF0000"/>
                    </a:solidFill>
                    <a:effectLst/>
                  </a:rPr>
                  <a:t>0,0003</a:t>
                </a:r>
              </a:p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baseline="0">
                    <a:effectLst/>
                  </a:rPr>
                  <a:t>Dunn´s Test: different letters mean significant difference</a:t>
                </a:r>
                <a:endParaRPr lang="es-CO" sz="1000" b="1">
                  <a:effectLst/>
                </a:endParaRPr>
              </a:p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endParaRPr lang="es-CO" sz="1000" b="1">
                  <a:solidFill>
                    <a:srgbClr val="FF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5.1423884514435695E-3"/>
              <c:y val="0.81659703995333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19776"/>
        <c:crosses val="autoZero"/>
        <c:auto val="1"/>
        <c:lblAlgn val="ctr"/>
        <c:lblOffset val="100"/>
        <c:noMultiLvlLbl val="0"/>
      </c:catAx>
      <c:valAx>
        <c:axId val="243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19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DISTRTIBUCION DE LA MUESTRA POR ÁNGULO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19-4452-9F89-6E358F1827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19-4452-9F89-6E358F1827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19-4452-9F89-6E358F1827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'resultados (2)'!$E$22:$E$24</c:f>
              <c:strCache>
                <c:ptCount val="3"/>
                <c:pt idx="0">
                  <c:v>CL III ANGULO ALTO</c:v>
                </c:pt>
                <c:pt idx="1">
                  <c:v>CL III ANGULO BAJO</c:v>
                </c:pt>
                <c:pt idx="2">
                  <c:v>CLASE I</c:v>
                </c:pt>
              </c:strCache>
            </c:strRef>
          </c:cat>
          <c:val>
            <c:numRef>
              <c:f>'resultados (2)'!$G$22:$G$24</c:f>
              <c:numCache>
                <c:formatCode>0.0%</c:formatCode>
                <c:ptCount val="3"/>
                <c:pt idx="0">
                  <c:v>0.17241379310344829</c:v>
                </c:pt>
                <c:pt idx="1">
                  <c:v>0.32758620689655171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19-4452-9F89-6E358F182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DISTRIBUCIÓN DE LA MUESTRA POR PARAFUNCIÓN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3E-402A-9EB0-81DC72D96AEE}"/>
              </c:ext>
            </c:extLst>
          </c:dPt>
          <c:dLbls>
            <c:dLbl>
              <c:idx val="0"/>
              <c:layout>
                <c:manualLayout>
                  <c:x val="-1.6666666666666718E-2"/>
                  <c:y val="-0.17592592592592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E-402A-9EB0-81DC72D96AEE}"/>
                </c:ext>
              </c:extLst>
            </c:dLbl>
            <c:dLbl>
              <c:idx val="1"/>
              <c:layout>
                <c:manualLayout>
                  <c:x val="3.6111111111111011E-2"/>
                  <c:y val="-0.11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E-402A-9EB0-81DC72D96A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(2)'!$J$21:$K$21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'resultados (2)'!$J$26:$K$26</c:f>
              <c:numCache>
                <c:formatCode>0.0%</c:formatCode>
                <c:ptCount val="2"/>
                <c:pt idx="0">
                  <c:v>0.81034482758620685</c:v>
                </c:pt>
                <c:pt idx="1">
                  <c:v>0.18965517241379309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3E-402A-9EB0-81DC72D96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070816"/>
        <c:axId val="243071376"/>
        <c:axId val="0"/>
      </c:bar3DChart>
      <c:catAx>
        <c:axId val="24307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71376"/>
        <c:crosses val="autoZero"/>
        <c:auto val="1"/>
        <c:lblAlgn val="ctr"/>
        <c:lblOffset val="100"/>
        <c:noMultiLvlLbl val="0"/>
      </c:catAx>
      <c:valAx>
        <c:axId val="24307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70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DISTRIBUCIÓN DE LA MUESTRA  POR SEXO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7E7-4B8D-B048-377EA7F7F3F6}"/>
              </c:ext>
            </c:extLst>
          </c:dPt>
          <c:dLbls>
            <c:dLbl>
              <c:idx val="0"/>
              <c:layout>
                <c:manualLayout>
                  <c:x val="3.0555555555555555E-2"/>
                  <c:y val="-0.12037037037037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7-4B8D-B048-377EA7F7F3F6}"/>
                </c:ext>
              </c:extLst>
            </c:dLbl>
            <c:dLbl>
              <c:idx val="1"/>
              <c:layout>
                <c:manualLayout>
                  <c:x val="9.166666666666666E-2"/>
                  <c:y val="-9.2592592592592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7-4B8D-B048-377EA7F7F3F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(2)'!$P$21:$Q$21</c:f>
              <c:strCache>
                <c:ptCount val="2"/>
                <c:pt idx="0">
                  <c:v>F</c:v>
                </c:pt>
                <c:pt idx="1">
                  <c:v>M</c:v>
                </c:pt>
              </c:strCache>
            </c:strRef>
          </c:cat>
          <c:val>
            <c:numRef>
              <c:f>'resultados (2)'!$P$26:$Q$26</c:f>
              <c:numCache>
                <c:formatCode>0.0%</c:formatCode>
                <c:ptCount val="2"/>
                <c:pt idx="0">
                  <c:v>0.56896551724137934</c:v>
                </c:pt>
                <c:pt idx="1">
                  <c:v>0.43103448275862066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E7-4B8D-B048-377EA7F7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073616"/>
        <c:axId val="243074176"/>
        <c:axId val="0"/>
      </c:bar3DChart>
      <c:catAx>
        <c:axId val="24307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74176"/>
        <c:crosses val="autoZero"/>
        <c:auto val="1"/>
        <c:lblAlgn val="ctr"/>
        <c:lblOffset val="100"/>
        <c:noMultiLvlLbl val="0"/>
      </c:catAx>
      <c:valAx>
        <c:axId val="2430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PACIENTES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%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73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DISTRIBUCIÓN</a:t>
            </a:r>
            <a:r>
              <a:rPr lang="es-CO" baseline="0"/>
              <a:t> DE LA MUESTRA POR ESTRATO</a:t>
            </a:r>
            <a:endParaRPr lang="es-CO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1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600-440F-B633-0477E9932F71}"/>
              </c:ext>
            </c:extLst>
          </c:dPt>
          <c:dPt>
            <c:idx val="1"/>
            <c:invertIfNegative val="0"/>
            <c:bubble3D val="1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00-440F-B633-0477E9932F71}"/>
              </c:ext>
            </c:extLst>
          </c:dPt>
          <c:dPt>
            <c:idx val="2"/>
            <c:invertIfNegative val="0"/>
            <c:bubble3D val="1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00-440F-B633-0477E9932F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'resultados (2)'!$V$21:$X$21</c:f>
              <c:strCache>
                <c:ptCount val="3"/>
                <c:pt idx="0">
                  <c:v>E1</c:v>
                </c:pt>
                <c:pt idx="1">
                  <c:v>E2</c:v>
                </c:pt>
                <c:pt idx="2">
                  <c:v>E3</c:v>
                </c:pt>
              </c:strCache>
            </c:strRef>
          </c:xVal>
          <c:yVal>
            <c:numRef>
              <c:f>'resultados (2)'!$V$25:$X$25</c:f>
              <c:numCache>
                <c:formatCode>General</c:formatCode>
                <c:ptCount val="3"/>
                <c:pt idx="0">
                  <c:v>17</c:v>
                </c:pt>
                <c:pt idx="1">
                  <c:v>25</c:v>
                </c:pt>
                <c:pt idx="2">
                  <c:v>16</c:v>
                </c:pt>
              </c:numCache>
            </c:numRef>
          </c:yVal>
          <c:bubbleSize>
            <c:numRef>
              <c:f>'resultados (2)'!$V$26:$X$26</c:f>
              <c:numCache>
                <c:formatCode>0.0%</c:formatCode>
                <c:ptCount val="3"/>
                <c:pt idx="0">
                  <c:v>0.29310344827586204</c:v>
                </c:pt>
                <c:pt idx="1">
                  <c:v>0.43103448275862066</c:v>
                </c:pt>
                <c:pt idx="2">
                  <c:v>0.27586206896551724</c:v>
                </c:pt>
              </c:numCache>
            </c:numRef>
          </c:bubbleSize>
          <c:bubble3D val="1"/>
          <c:extLst>
            <c:ext xmlns:c16="http://schemas.microsoft.com/office/drawing/2014/chart" uri="{C3380CC4-5D6E-409C-BE32-E72D297353CC}">
              <c16:uniqueId val="{00000006-E600-440F-B633-0477E9932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43076416"/>
        <c:axId val="243076976"/>
      </c:bubbleChart>
      <c:valAx>
        <c:axId val="243076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076976"/>
        <c:crosses val="autoZero"/>
        <c:crossBetween val="midCat"/>
      </c:valAx>
      <c:valAx>
        <c:axId val="24307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764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Altura facial inferior (LFH)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[1]resultados!$G$76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86-4D8B-9FD3-D11BE8ECD92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86-4D8B-9FD3-D11BE8ECD925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[1]resultados!$F$83:$F$85</c:f>
              <c:strCache>
                <c:ptCount val="3"/>
                <c:pt idx="0">
                  <c:v>C/III ANG ALTO</c:v>
                </c:pt>
                <c:pt idx="1">
                  <c:v>C/ III ANG BAJO</c:v>
                </c:pt>
                <c:pt idx="2">
                  <c:v>CLASE I</c:v>
                </c:pt>
              </c:strCache>
            </c:strRef>
          </c:cat>
          <c:val>
            <c:numRef>
              <c:f>[1]resultados!$G$83:$G$85</c:f>
              <c:numCache>
                <c:formatCode>General</c:formatCode>
                <c:ptCount val="3"/>
                <c:pt idx="0">
                  <c:v>48.910000000000004</c:v>
                </c:pt>
                <c:pt idx="1">
                  <c:v>42.794736842105301</c:v>
                </c:pt>
                <c:pt idx="2">
                  <c:v>44.393103448275873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86-4D8B-9FD3-D11BE8ECD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316784"/>
        <c:axId val="243317344"/>
      </c:barChart>
      <c:catAx>
        <c:axId val="243316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ANOVA: Single Factor Test </a:t>
                </a:r>
                <a:r>
                  <a:rPr lang="es-CO"/>
                  <a:t>p-value=</a:t>
                </a:r>
                <a:r>
                  <a:rPr lang="es-CO">
                    <a:solidFill>
                      <a:srgbClr val="FF0000"/>
                    </a:solidFill>
                  </a:rPr>
                  <a:t>4,7e-06</a:t>
                </a:r>
              </a:p>
              <a:p>
                <a:pPr algn="l">
                  <a:defRPr b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s-CO"/>
                  <a:t>DUNNETT'S TEST: different letters mean significant difference</a:t>
                </a:r>
              </a:p>
            </c:rich>
          </c:tx>
          <c:layout>
            <c:manualLayout>
              <c:xMode val="edge"/>
              <c:yMode val="edge"/>
              <c:x val="5.1423884514435695E-3"/>
              <c:y val="0.87310185185185185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317344"/>
        <c:crosses val="autoZero"/>
        <c:auto val="1"/>
        <c:lblAlgn val="ctr"/>
        <c:lblOffset val="100"/>
        <c:noMultiLvlLbl val="0"/>
      </c:catAx>
      <c:valAx>
        <c:axId val="2433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316784"/>
        <c:crosses val="autoZero"/>
        <c:crossBetween val="between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Eje facial (Fx)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262-4AEC-B6A9-50978813858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62-4AEC-B6A9-5097881385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(2)'!$F$80:$F$82</c:f>
              <c:strCache>
                <c:ptCount val="3"/>
                <c:pt idx="0">
                  <c:v>CLASE I</c:v>
                </c:pt>
                <c:pt idx="1">
                  <c:v>CLASE III ÁNGULO ALTO</c:v>
                </c:pt>
                <c:pt idx="2">
                  <c:v>CLASE III ÁNGULO BAJO</c:v>
                </c:pt>
              </c:strCache>
            </c:strRef>
          </c:cat>
          <c:val>
            <c:numRef>
              <c:f>'resultados (2)'!$G$80:$G$82</c:f>
              <c:numCache>
                <c:formatCode>0.0</c:formatCode>
                <c:ptCount val="3"/>
                <c:pt idx="0">
                  <c:v>91.810344827586206</c:v>
                </c:pt>
                <c:pt idx="1">
                  <c:v>92.140000000000015</c:v>
                </c:pt>
                <c:pt idx="2">
                  <c:v>93.184210526315795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62-4AEC-B6A9-509788138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00800"/>
        <c:axId val="149900224"/>
      </c:barChart>
      <c:catAx>
        <c:axId val="163500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ANOVA: Single Factor Test p-value=0,26</a:t>
                </a:r>
                <a:endParaRPr lang="es-CO">
                  <a:solidFill>
                    <a:srgbClr val="FF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5.1423884514435695E-3"/>
              <c:y val="0.920347039953339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00224"/>
        <c:crosses val="autoZero"/>
        <c:auto val="1"/>
        <c:lblAlgn val="ctr"/>
        <c:lblOffset val="100"/>
        <c:noMultiLvlLbl val="0"/>
      </c:catAx>
      <c:valAx>
        <c:axId val="14990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50080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Indicador de la profundidad del overbite (ODI)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CFD-4290-B79F-F4796247C1A0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CFD-4290-B79F-F4796247C1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(2)'!$F$86:$F$88</c:f>
              <c:strCache>
                <c:ptCount val="3"/>
                <c:pt idx="0">
                  <c:v>CLASE I a</c:v>
                </c:pt>
                <c:pt idx="1">
                  <c:v>CLASE III ÁNGULO ALTO b</c:v>
                </c:pt>
                <c:pt idx="2">
                  <c:v>CLASE III ÁNGULO BAJO c</c:v>
                </c:pt>
              </c:strCache>
            </c:strRef>
          </c:cat>
          <c:val>
            <c:numRef>
              <c:f>'resultados (2)'!$G$86:$G$88</c:f>
              <c:numCache>
                <c:formatCode>0.0</c:formatCode>
                <c:ptCount val="3"/>
                <c:pt idx="0">
                  <c:v>70.186206896551724</c:v>
                </c:pt>
                <c:pt idx="1">
                  <c:v>60.559999999999988</c:v>
                </c:pt>
                <c:pt idx="2">
                  <c:v>83.673684210526318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FD-4290-B79F-F4796247C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988400"/>
        <c:axId val="166546768"/>
      </c:barChart>
      <c:catAx>
        <c:axId val="34988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ANOVA: Single Factor Test </a:t>
                </a:r>
                <a:r>
                  <a:rPr lang="es-CO"/>
                  <a:t>p-value=</a:t>
                </a:r>
                <a:r>
                  <a:rPr lang="es-CO">
                    <a:solidFill>
                      <a:srgbClr val="FF0000"/>
                    </a:solidFill>
                  </a:rPr>
                  <a:t>1,1e-09</a:t>
                </a:r>
              </a:p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DUNNETT'S TEST: different letters mean significant difference</a:t>
                </a:r>
              </a:p>
            </c:rich>
          </c:tx>
          <c:layout>
            <c:manualLayout>
              <c:xMode val="edge"/>
              <c:yMode val="edge"/>
              <c:x val="5.1423884514435695E-3"/>
              <c:y val="0.873101851851851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546768"/>
        <c:crosses val="autoZero"/>
        <c:auto val="1"/>
        <c:lblAlgn val="ctr"/>
        <c:lblOffset val="100"/>
        <c:noMultiLvlLbl val="0"/>
      </c:catAx>
      <c:valAx>
        <c:axId val="16654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98840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Indicador de la displasia anteroposterior (APDI)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CB6-4351-BF2E-D1DD0EABADB8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B6-4351-BF2E-D1DD0EABAD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(2)'!$F$89:$F$91</c:f>
              <c:strCache>
                <c:ptCount val="3"/>
                <c:pt idx="0">
                  <c:v>CLASE I</c:v>
                </c:pt>
                <c:pt idx="1">
                  <c:v>CLASE III ÁNGULO ALTO</c:v>
                </c:pt>
                <c:pt idx="2">
                  <c:v>CLASE III ÁNGULO BAJO</c:v>
                </c:pt>
              </c:strCache>
            </c:strRef>
          </c:cat>
          <c:val>
            <c:numRef>
              <c:f>'resultados (2)'!$G$89:$G$91</c:f>
              <c:numCache>
                <c:formatCode>0.0</c:formatCode>
                <c:ptCount val="3"/>
                <c:pt idx="0">
                  <c:v>83.075862068965492</c:v>
                </c:pt>
                <c:pt idx="1">
                  <c:v>78.17</c:v>
                </c:pt>
                <c:pt idx="2">
                  <c:v>99.4157894736842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B6-4351-BF2E-D1DD0EABA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549008"/>
        <c:axId val="166549568"/>
      </c:barChart>
      <c:catAx>
        <c:axId val="166549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Kruskal-Wallis Test p-value</a:t>
                </a:r>
                <a:r>
                  <a:rPr lang="es-CO">
                    <a:solidFill>
                      <a:srgbClr val="FF0000"/>
                    </a:solidFill>
                  </a:rPr>
                  <a:t>=7,6E-10</a:t>
                </a:r>
              </a:p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Dunn´s Test: different letters mean significant difference</a:t>
                </a:r>
              </a:p>
            </c:rich>
          </c:tx>
          <c:layout>
            <c:manualLayout>
              <c:xMode val="edge"/>
              <c:yMode val="edge"/>
              <c:x val="5.1423884514435695E-3"/>
              <c:y val="0.872659698025551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549568"/>
        <c:crosses val="autoZero"/>
        <c:auto val="1"/>
        <c:lblAlgn val="ctr"/>
        <c:lblOffset val="100"/>
        <c:noMultiLvlLbl val="0"/>
      </c:catAx>
      <c:valAx>
        <c:axId val="16654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1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549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Ángulo POP (POP-FH)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48A-44F1-8CDF-FC79C52EF9F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8A-44F1-8CDF-FC79C52EF9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(2)'!$F$92:$F$94</c:f>
              <c:strCache>
                <c:ptCount val="3"/>
                <c:pt idx="0">
                  <c:v>CLASE I a</c:v>
                </c:pt>
                <c:pt idx="1">
                  <c:v>CLASE III ÁNGULO ALTO ac</c:v>
                </c:pt>
                <c:pt idx="2">
                  <c:v>CLASE III ÁNGULO BAJO b</c:v>
                </c:pt>
              </c:strCache>
            </c:strRef>
          </c:cat>
          <c:val>
            <c:numRef>
              <c:f>'resultados (2)'!$G$92:$G$94</c:f>
              <c:numCache>
                <c:formatCode>0.0</c:formatCode>
                <c:ptCount val="3"/>
                <c:pt idx="0">
                  <c:v>14.399999999999999</c:v>
                </c:pt>
                <c:pt idx="1">
                  <c:v>14.87</c:v>
                </c:pt>
                <c:pt idx="2">
                  <c:v>8.9842105263157901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8A-44F1-8CDF-FC79C52EF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551808"/>
        <c:axId val="166552368"/>
      </c:barChart>
      <c:catAx>
        <c:axId val="166551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900" b="0" i="0" baseline="0">
                    <a:effectLst/>
                  </a:rPr>
                  <a:t>Kruskal-Wallis Test p-value=</a:t>
                </a:r>
                <a:r>
                  <a:rPr lang="es-CO" sz="900" b="0" i="0" baseline="0">
                    <a:solidFill>
                      <a:srgbClr val="FF0000"/>
                    </a:solidFill>
                    <a:effectLst/>
                  </a:rPr>
                  <a:t>1,3e-05</a:t>
                </a:r>
                <a:endParaRPr lang="es-CO" sz="900">
                  <a:solidFill>
                    <a:srgbClr val="FF0000"/>
                  </a:solidFill>
                  <a:effectLst/>
                </a:endParaRPr>
              </a:p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900" b="0" i="0" baseline="0">
                    <a:effectLst/>
                  </a:rPr>
                  <a:t>Dunn´s Test: different letters mean significant difference</a:t>
                </a:r>
                <a:endParaRPr lang="es-CO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5.1423884514435695E-3"/>
              <c:y val="0.92034715172798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552368"/>
        <c:crosses val="autoZero"/>
        <c:auto val="1"/>
        <c:lblAlgn val="ctr"/>
        <c:lblOffset val="100"/>
        <c:noMultiLvlLbl val="0"/>
      </c:catAx>
      <c:valAx>
        <c:axId val="16655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551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Diff OP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1-4818-8620-49E51D5442E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71-4818-8620-49E51D5442EF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(2)'!$F$95:$F$97</c:f>
              <c:strCache>
                <c:ptCount val="3"/>
                <c:pt idx="0">
                  <c:v>CLASE I</c:v>
                </c:pt>
                <c:pt idx="1">
                  <c:v>CLASE III ÁNGULO ALTO</c:v>
                </c:pt>
                <c:pt idx="2">
                  <c:v>CLASE III ÁNGULO BAJO</c:v>
                </c:pt>
              </c:strCache>
            </c:strRef>
          </c:cat>
          <c:val>
            <c:numRef>
              <c:f>'resultados (2)'!$G$95:$G$97</c:f>
              <c:numCache>
                <c:formatCode>0.0</c:formatCode>
                <c:ptCount val="3"/>
                <c:pt idx="0">
                  <c:v>6.1827586206896559</c:v>
                </c:pt>
                <c:pt idx="1">
                  <c:v>4.9000000000000004</c:v>
                </c:pt>
                <c:pt idx="2">
                  <c:v>3.4157894736842107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71-4818-8620-49E51D54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51664"/>
        <c:axId val="242852224"/>
      </c:barChart>
      <c:catAx>
        <c:axId val="242851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Kruskal-Wallis Test p-value=0,06</a:t>
                </a:r>
                <a:endParaRPr lang="es-CO" sz="1000">
                  <a:solidFill>
                    <a:srgbClr val="FF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9201662292213478E-3"/>
              <c:y val="0.87129409586123885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852224"/>
        <c:crosses val="autoZero"/>
        <c:auto val="1"/>
        <c:lblAlgn val="ctr"/>
        <c:lblOffset val="100"/>
        <c:noMultiLvlLbl val="0"/>
      </c:catAx>
      <c:valAx>
        <c:axId val="24285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8516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longitud del cuerpo mandibular COL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FD1-487A-A86D-F17B650DA61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D1-487A-A86D-F17B650DA6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(2)'!$F$104:$F$106</c:f>
              <c:strCache>
                <c:ptCount val="3"/>
                <c:pt idx="0">
                  <c:v>CLASE I a</c:v>
                </c:pt>
                <c:pt idx="1">
                  <c:v>CLASE III ÁNGULO ALTO b</c:v>
                </c:pt>
                <c:pt idx="2">
                  <c:v>CLASE III ÁNGULO BAJO c</c:v>
                </c:pt>
              </c:strCache>
            </c:strRef>
          </c:cat>
          <c:val>
            <c:numRef>
              <c:f>'resultados (2)'!$G$104:$G$106</c:f>
              <c:numCache>
                <c:formatCode>0.0</c:formatCode>
                <c:ptCount val="3"/>
                <c:pt idx="0">
                  <c:v>65.531034482758614</c:v>
                </c:pt>
                <c:pt idx="1">
                  <c:v>85.910000000000011</c:v>
                </c:pt>
                <c:pt idx="2">
                  <c:v>103.81578947368422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D1-487A-A86D-F17B650DA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54464"/>
        <c:axId val="242855024"/>
      </c:barChart>
      <c:catAx>
        <c:axId val="24285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baseline="0">
                    <a:effectLst/>
                  </a:rPr>
                  <a:t>Kruskal-Wallis Test p-value=</a:t>
                </a:r>
                <a:r>
                  <a:rPr lang="es-CO" sz="1000" b="1" i="0" baseline="0">
                    <a:solidFill>
                      <a:srgbClr val="FF0000"/>
                    </a:solidFill>
                    <a:effectLst/>
                  </a:rPr>
                  <a:t>0,002</a:t>
                </a:r>
              </a:p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baseline="0">
                    <a:effectLst/>
                  </a:rPr>
                  <a:t>Dunn´s Test: different letters mean significant difference</a:t>
                </a:r>
                <a:endParaRPr lang="es-CO" sz="1000" b="1">
                  <a:effectLst/>
                </a:endParaRPr>
              </a:p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endParaRPr lang="es-CO" sz="1000" b="1">
                  <a:solidFill>
                    <a:srgbClr val="FF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5.1423884514435695E-3"/>
              <c:y val="0.81659703995333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855024"/>
        <c:crosses val="autoZero"/>
        <c:auto val="1"/>
        <c:lblAlgn val="ctr"/>
        <c:lblOffset val="100"/>
        <c:noMultiLvlLbl val="0"/>
      </c:catAx>
      <c:valAx>
        <c:axId val="24285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mm</a:t>
                </a:r>
              </a:p>
            </c:rich>
          </c:tx>
          <c:layout>
            <c:manualLayout>
              <c:xMode val="edge"/>
              <c:yMode val="edge"/>
              <c:x val="3.553625849905262E-2"/>
              <c:y val="0.32093902939113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854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Cx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C-488E-B2D7-8E9108D704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EC-488E-B2D7-8E9108D70431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(2)'!$F$98:$F$100</c:f>
              <c:strCache>
                <c:ptCount val="3"/>
                <c:pt idx="0">
                  <c:v>CLASE I a</c:v>
                </c:pt>
                <c:pt idx="1">
                  <c:v>CLASE III ÁNGULO ALTO ac</c:v>
                </c:pt>
                <c:pt idx="2">
                  <c:v>CLASE III ÁNGULO BAJO c</c:v>
                </c:pt>
              </c:strCache>
            </c:strRef>
          </c:cat>
          <c:val>
            <c:numRef>
              <c:f>'resultados (2)'!$G$98:$G$100</c:f>
              <c:numCache>
                <c:formatCode>0.0</c:formatCode>
                <c:ptCount val="3"/>
                <c:pt idx="0">
                  <c:v>35.162068965517236</c:v>
                </c:pt>
                <c:pt idx="1">
                  <c:v>26.080000000000002</c:v>
                </c:pt>
                <c:pt idx="2">
                  <c:v>47.731578947368419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EC-488E-B2D7-8E9108D70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57264"/>
        <c:axId val="242857824"/>
      </c:barChart>
      <c:catAx>
        <c:axId val="242857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ANOVA: Single Factor Test p-value= </a:t>
                </a:r>
                <a:r>
                  <a:rPr lang="es-CO" sz="1000" b="0" i="0" baseline="0">
                    <a:solidFill>
                      <a:srgbClr val="FF0000"/>
                    </a:solidFill>
                    <a:effectLst/>
                  </a:rPr>
                  <a:t>3,8E-10</a:t>
                </a:r>
                <a:endParaRPr lang="es-CO" sz="1000">
                  <a:solidFill>
                    <a:srgbClr val="FF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5.1423884514435695E-3"/>
              <c:y val="0.87265969802555166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857824"/>
        <c:crosses val="autoZero"/>
        <c:auto val="1"/>
        <c:lblAlgn val="ctr"/>
        <c:lblOffset val="100"/>
        <c:noMultiLvlLbl val="0"/>
      </c:catAx>
      <c:valAx>
        <c:axId val="24285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8572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Angulo POA POA-Fh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(2)'!$G$76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23-4B57-94EE-24E296C4DD3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23-4B57-94EE-24E296C4DD3D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'resultados (2)'!$F$101:$F$103</c:f>
              <c:strCache>
                <c:ptCount val="3"/>
                <c:pt idx="0">
                  <c:v>CLASE I a</c:v>
                </c:pt>
                <c:pt idx="1">
                  <c:v>CLASE III ÁNGULO ALTO a</c:v>
                </c:pt>
                <c:pt idx="2">
                  <c:v>CLASE III ÁNGULO BAJO b</c:v>
                </c:pt>
              </c:strCache>
            </c:strRef>
          </c:cat>
          <c:val>
            <c:numRef>
              <c:f>'resultados (2)'!$G$101:$G$103</c:f>
              <c:numCache>
                <c:formatCode>0.0</c:formatCode>
                <c:ptCount val="3"/>
                <c:pt idx="0">
                  <c:v>8.206896551724137</c:v>
                </c:pt>
                <c:pt idx="1">
                  <c:v>10.28</c:v>
                </c:pt>
                <c:pt idx="2">
                  <c:v>5.5684210526315789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23-4B57-94EE-24E296C4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016416"/>
        <c:axId val="243016976"/>
      </c:barChart>
      <c:catAx>
        <c:axId val="243016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 rtl="0"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ANOVA: Single Factor Test p-value= </a:t>
                </a:r>
                <a:r>
                  <a:rPr lang="es-CO">
                    <a:solidFill>
                      <a:srgbClr val="FF0000"/>
                    </a:solidFill>
                  </a:rPr>
                  <a:t>0,02</a:t>
                </a:r>
              </a:p>
              <a:p>
                <a:pPr algn="l" rtl="0">
                  <a:defRPr/>
                </a:pPr>
                <a:r>
                  <a:rPr lang="es-CO"/>
                  <a:t>DUNNETT'S TEST: different letters mean significant difference</a:t>
                </a:r>
              </a:p>
              <a:p>
                <a:pPr algn="l" rtl="0"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5.1423884514435695E-3"/>
              <c:y val="0.81659703995333921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 rtl="0"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16976"/>
        <c:crosses val="autoZero"/>
        <c:auto val="1"/>
        <c:lblAlgn val="ctr"/>
        <c:lblOffset val="100"/>
        <c:noMultiLvlLbl val="0"/>
      </c:catAx>
      <c:valAx>
        <c:axId val="2430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GRADOS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016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1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571500</xdr:colOff>
      <xdr:row>71</xdr:row>
      <xdr:rowOff>85725</xdr:rowOff>
    </xdr:from>
    <xdr:to>
      <xdr:col>19</xdr:col>
      <xdr:colOff>448235</xdr:colOff>
      <xdr:row>85</xdr:row>
      <xdr:rowOff>44823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133350</xdr:colOff>
      <xdr:row>71</xdr:row>
      <xdr:rowOff>76200</xdr:rowOff>
    </xdr:from>
    <xdr:to>
      <xdr:col>26</xdr:col>
      <xdr:colOff>133350</xdr:colOff>
      <xdr:row>85</xdr:row>
      <xdr:rowOff>114300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257175</xdr:colOff>
      <xdr:row>71</xdr:row>
      <xdr:rowOff>114300</xdr:rowOff>
    </xdr:from>
    <xdr:to>
      <xdr:col>39</xdr:col>
      <xdr:colOff>257175</xdr:colOff>
      <xdr:row>85</xdr:row>
      <xdr:rowOff>152400</xdr:rowOff>
    </xdr:to>
    <xdr:graphicFrame macro="">
      <xdr:nvGraphicFramePr>
        <xdr:cNvPr id="5" name="Gráfico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733425</xdr:colOff>
      <xdr:row>86</xdr:row>
      <xdr:rowOff>123825</xdr:rowOff>
    </xdr:from>
    <xdr:to>
      <xdr:col>38</xdr:col>
      <xdr:colOff>733425</xdr:colOff>
      <xdr:row>100</xdr:row>
      <xdr:rowOff>142875</xdr:rowOff>
    </xdr:to>
    <xdr:graphicFrame macro="">
      <xdr:nvGraphicFramePr>
        <xdr:cNvPr id="6" name="Gráfico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295275</xdr:colOff>
      <xdr:row>87</xdr:row>
      <xdr:rowOff>76200</xdr:rowOff>
    </xdr:from>
    <xdr:to>
      <xdr:col>32</xdr:col>
      <xdr:colOff>295275</xdr:colOff>
      <xdr:row>101</xdr:row>
      <xdr:rowOff>95250</xdr:rowOff>
    </xdr:to>
    <xdr:graphicFrame macro="">
      <xdr:nvGraphicFramePr>
        <xdr:cNvPr id="7" name="Gráfico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19050</xdr:colOff>
      <xdr:row>87</xdr:row>
      <xdr:rowOff>104775</xdr:rowOff>
    </xdr:from>
    <xdr:to>
      <xdr:col>26</xdr:col>
      <xdr:colOff>19050</xdr:colOff>
      <xdr:row>101</xdr:row>
      <xdr:rowOff>123825</xdr:rowOff>
    </xdr:to>
    <xdr:graphicFrame macro="">
      <xdr:nvGraphicFramePr>
        <xdr:cNvPr id="8" name="Gráfico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228600</xdr:colOff>
      <xdr:row>102</xdr:row>
      <xdr:rowOff>180976</xdr:rowOff>
    </xdr:from>
    <xdr:to>
      <xdr:col>25</xdr:col>
      <xdr:colOff>302559</xdr:colOff>
      <xdr:row>116</xdr:row>
      <xdr:rowOff>67236</xdr:rowOff>
    </xdr:to>
    <xdr:graphicFrame macro="">
      <xdr:nvGraphicFramePr>
        <xdr:cNvPr id="9" name="Gráfico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514350</xdr:colOff>
      <xdr:row>86</xdr:row>
      <xdr:rowOff>19050</xdr:rowOff>
    </xdr:from>
    <xdr:to>
      <xdr:col>19</xdr:col>
      <xdr:colOff>514350</xdr:colOff>
      <xdr:row>100</xdr:row>
      <xdr:rowOff>38100</xdr:rowOff>
    </xdr:to>
    <xdr:graphicFrame macro="">
      <xdr:nvGraphicFramePr>
        <xdr:cNvPr id="10" name="Gráfico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304800</xdr:colOff>
      <xdr:row>101</xdr:row>
      <xdr:rowOff>171451</xdr:rowOff>
    </xdr:from>
    <xdr:to>
      <xdr:col>32</xdr:col>
      <xdr:colOff>302559</xdr:colOff>
      <xdr:row>115</xdr:row>
      <xdr:rowOff>11207</xdr:rowOff>
    </xdr:to>
    <xdr:graphicFrame macro="">
      <xdr:nvGraphicFramePr>
        <xdr:cNvPr id="11" name="Gráfico 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285750</xdr:colOff>
      <xdr:row>101</xdr:row>
      <xdr:rowOff>76200</xdr:rowOff>
    </xdr:from>
    <xdr:to>
      <xdr:col>19</xdr:col>
      <xdr:colOff>280147</xdr:colOff>
      <xdr:row>115</xdr:row>
      <xdr:rowOff>78441</xdr:rowOff>
    </xdr:to>
    <xdr:graphicFrame macro="">
      <xdr:nvGraphicFramePr>
        <xdr:cNvPr id="12" name="Gráfico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657225</xdr:colOff>
      <xdr:row>26</xdr:row>
      <xdr:rowOff>133350</xdr:rowOff>
    </xdr:from>
    <xdr:to>
      <xdr:col>6</xdr:col>
      <xdr:colOff>342900</xdr:colOff>
      <xdr:row>41</xdr:row>
      <xdr:rowOff>19050</xdr:rowOff>
    </xdr:to>
    <xdr:graphicFrame macro="">
      <xdr:nvGraphicFramePr>
        <xdr:cNvPr id="13" name="Gráfico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438150</xdr:colOff>
      <xdr:row>27</xdr:row>
      <xdr:rowOff>171450</xdr:rowOff>
    </xdr:from>
    <xdr:to>
      <xdr:col>13</xdr:col>
      <xdr:colOff>133350</xdr:colOff>
      <xdr:row>42</xdr:row>
      <xdr:rowOff>57150</xdr:rowOff>
    </xdr:to>
    <xdr:graphicFrame macro="">
      <xdr:nvGraphicFramePr>
        <xdr:cNvPr id="14" name="Gráfico 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28</xdr:row>
      <xdr:rowOff>0</xdr:rowOff>
    </xdr:from>
    <xdr:to>
      <xdr:col>20</xdr:col>
      <xdr:colOff>0</xdr:colOff>
      <xdr:row>42</xdr:row>
      <xdr:rowOff>76200</xdr:rowOff>
    </xdr:to>
    <xdr:graphicFrame macro="">
      <xdr:nvGraphicFramePr>
        <xdr:cNvPr id="15" name="Gráfico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20</xdr:col>
      <xdr:colOff>171450</xdr:colOff>
      <xdr:row>28</xdr:row>
      <xdr:rowOff>180975</xdr:rowOff>
    </xdr:from>
    <xdr:to>
      <xdr:col>26</xdr:col>
      <xdr:colOff>171450</xdr:colOff>
      <xdr:row>43</xdr:row>
      <xdr:rowOff>66675</xdr:rowOff>
    </xdr:to>
    <xdr:graphicFrame macro="">
      <xdr:nvGraphicFramePr>
        <xdr:cNvPr id="16" name="Gráfico 1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26</xdr:col>
      <xdr:colOff>465667</xdr:colOff>
      <xdr:row>71</xdr:row>
      <xdr:rowOff>148166</xdr:rowOff>
    </xdr:from>
    <xdr:to>
      <xdr:col>32</xdr:col>
      <xdr:colOff>331259</xdr:colOff>
      <xdr:row>85</xdr:row>
      <xdr:rowOff>52916</xdr:rowOff>
    </xdr:to>
    <xdr:graphicFrame macro="">
      <xdr:nvGraphicFramePr>
        <xdr:cNvPr id="18" name="Gráfico 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(NO%20BORRAR)\Downloads\resultadso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ARDO\Downloads\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s"/>
      <sheetName val="relaciones"/>
      <sheetName val="base"/>
      <sheetName val="BASE TOTAL"/>
      <sheetName val="CUADRO OPERACIONALIZACION"/>
    </sheetNames>
    <sheetDataSet>
      <sheetData sheetId="0">
        <row r="76">
          <cell r="G76" t="str">
            <v>Mean</v>
          </cell>
        </row>
        <row r="83">
          <cell r="F83" t="str">
            <v>C/III ANG ALTO</v>
          </cell>
          <cell r="G83">
            <v>48.910000000000004</v>
          </cell>
        </row>
        <row r="84">
          <cell r="F84" t="str">
            <v>C/ III ANG BAJO</v>
          </cell>
          <cell r="G84">
            <v>42.794736842105301</v>
          </cell>
        </row>
        <row r="85">
          <cell r="F85" t="str">
            <v>CLASE I</v>
          </cell>
          <cell r="G85">
            <v>44.393103448275873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Sign Table"/>
      <sheetName val="Runs Table"/>
      <sheetName val="KS Table"/>
      <sheetName val="KS2 Table"/>
      <sheetName val="Lil Table"/>
      <sheetName val="AD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RealStats"/>
    </sheetNames>
    <definedNames>
      <definedName name="LEVENE"/>
      <definedName name="RANK_SUM"/>
      <definedName name="StdAnova1"/>
      <definedName name="TiesCorrecti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6"/>
  <sheetViews>
    <sheetView tabSelected="1" zoomScale="59" zoomScaleNormal="59" workbookViewId="0">
      <selection activeCell="AN107" sqref="AN107"/>
    </sheetView>
  </sheetViews>
  <sheetFormatPr baseColWidth="10" defaultRowHeight="15" x14ac:dyDescent="0.25"/>
  <cols>
    <col min="1" max="4" width="12.5703125" customWidth="1"/>
    <col min="5" max="5" width="21.85546875" customWidth="1"/>
    <col min="6" max="6" width="25" bestFit="1" customWidth="1"/>
    <col min="9" max="9" width="13.85546875" customWidth="1"/>
    <col min="10" max="10" width="12.28515625" customWidth="1"/>
    <col min="11" max="11" width="13.42578125" customWidth="1"/>
    <col min="12" max="12" width="15.42578125" customWidth="1"/>
    <col min="13" max="13" width="13.5703125" customWidth="1"/>
    <col min="257" max="260" width="12.5703125" customWidth="1"/>
    <col min="261" max="261" width="21.85546875" customWidth="1"/>
    <col min="262" max="262" width="13.7109375" customWidth="1"/>
    <col min="268" max="268" width="15.42578125" customWidth="1"/>
    <col min="269" max="269" width="12" bestFit="1" customWidth="1"/>
    <col min="513" max="516" width="12.5703125" customWidth="1"/>
    <col min="517" max="517" width="21.85546875" customWidth="1"/>
    <col min="518" max="518" width="13.7109375" customWidth="1"/>
    <col min="524" max="524" width="15.42578125" customWidth="1"/>
    <col min="525" max="525" width="12" bestFit="1" customWidth="1"/>
    <col min="769" max="772" width="12.5703125" customWidth="1"/>
    <col min="773" max="773" width="21.85546875" customWidth="1"/>
    <col min="774" max="774" width="13.7109375" customWidth="1"/>
    <col min="780" max="780" width="15.42578125" customWidth="1"/>
    <col min="781" max="781" width="12" bestFit="1" customWidth="1"/>
    <col min="1025" max="1028" width="12.5703125" customWidth="1"/>
    <col min="1029" max="1029" width="21.85546875" customWidth="1"/>
    <col min="1030" max="1030" width="13.7109375" customWidth="1"/>
    <col min="1036" max="1036" width="15.42578125" customWidth="1"/>
    <col min="1037" max="1037" width="12" bestFit="1" customWidth="1"/>
    <col min="1281" max="1284" width="12.5703125" customWidth="1"/>
    <col min="1285" max="1285" width="21.85546875" customWidth="1"/>
    <col min="1286" max="1286" width="13.7109375" customWidth="1"/>
    <col min="1292" max="1292" width="15.42578125" customWidth="1"/>
    <col min="1293" max="1293" width="12" bestFit="1" customWidth="1"/>
    <col min="1537" max="1540" width="12.5703125" customWidth="1"/>
    <col min="1541" max="1541" width="21.85546875" customWidth="1"/>
    <col min="1542" max="1542" width="13.7109375" customWidth="1"/>
    <col min="1548" max="1548" width="15.42578125" customWidth="1"/>
    <col min="1549" max="1549" width="12" bestFit="1" customWidth="1"/>
    <col min="1793" max="1796" width="12.5703125" customWidth="1"/>
    <col min="1797" max="1797" width="21.85546875" customWidth="1"/>
    <col min="1798" max="1798" width="13.7109375" customWidth="1"/>
    <col min="1804" max="1804" width="15.42578125" customWidth="1"/>
    <col min="1805" max="1805" width="12" bestFit="1" customWidth="1"/>
    <col min="2049" max="2052" width="12.5703125" customWidth="1"/>
    <col min="2053" max="2053" width="21.85546875" customWidth="1"/>
    <col min="2054" max="2054" width="13.7109375" customWidth="1"/>
    <col min="2060" max="2060" width="15.42578125" customWidth="1"/>
    <col min="2061" max="2061" width="12" bestFit="1" customWidth="1"/>
    <col min="2305" max="2308" width="12.5703125" customWidth="1"/>
    <col min="2309" max="2309" width="21.85546875" customWidth="1"/>
    <col min="2310" max="2310" width="13.7109375" customWidth="1"/>
    <col min="2316" max="2316" width="15.42578125" customWidth="1"/>
    <col min="2317" max="2317" width="12" bestFit="1" customWidth="1"/>
    <col min="2561" max="2564" width="12.5703125" customWidth="1"/>
    <col min="2565" max="2565" width="21.85546875" customWidth="1"/>
    <col min="2566" max="2566" width="13.7109375" customWidth="1"/>
    <col min="2572" max="2572" width="15.42578125" customWidth="1"/>
    <col min="2573" max="2573" width="12" bestFit="1" customWidth="1"/>
    <col min="2817" max="2820" width="12.5703125" customWidth="1"/>
    <col min="2821" max="2821" width="21.85546875" customWidth="1"/>
    <col min="2822" max="2822" width="13.7109375" customWidth="1"/>
    <col min="2828" max="2828" width="15.42578125" customWidth="1"/>
    <col min="2829" max="2829" width="12" bestFit="1" customWidth="1"/>
    <col min="3073" max="3076" width="12.5703125" customWidth="1"/>
    <col min="3077" max="3077" width="21.85546875" customWidth="1"/>
    <col min="3078" max="3078" width="13.7109375" customWidth="1"/>
    <col min="3084" max="3084" width="15.42578125" customWidth="1"/>
    <col min="3085" max="3085" width="12" bestFit="1" customWidth="1"/>
    <col min="3329" max="3332" width="12.5703125" customWidth="1"/>
    <col min="3333" max="3333" width="21.85546875" customWidth="1"/>
    <col min="3334" max="3334" width="13.7109375" customWidth="1"/>
    <col min="3340" max="3340" width="15.42578125" customWidth="1"/>
    <col min="3341" max="3341" width="12" bestFit="1" customWidth="1"/>
    <col min="3585" max="3588" width="12.5703125" customWidth="1"/>
    <col min="3589" max="3589" width="21.85546875" customWidth="1"/>
    <col min="3590" max="3590" width="13.7109375" customWidth="1"/>
    <col min="3596" max="3596" width="15.42578125" customWidth="1"/>
    <col min="3597" max="3597" width="12" bestFit="1" customWidth="1"/>
    <col min="3841" max="3844" width="12.5703125" customWidth="1"/>
    <col min="3845" max="3845" width="21.85546875" customWidth="1"/>
    <col min="3846" max="3846" width="13.7109375" customWidth="1"/>
    <col min="3852" max="3852" width="15.42578125" customWidth="1"/>
    <col min="3853" max="3853" width="12" bestFit="1" customWidth="1"/>
    <col min="4097" max="4100" width="12.5703125" customWidth="1"/>
    <col min="4101" max="4101" width="21.85546875" customWidth="1"/>
    <col min="4102" max="4102" width="13.7109375" customWidth="1"/>
    <col min="4108" max="4108" width="15.42578125" customWidth="1"/>
    <col min="4109" max="4109" width="12" bestFit="1" customWidth="1"/>
    <col min="4353" max="4356" width="12.5703125" customWidth="1"/>
    <col min="4357" max="4357" width="21.85546875" customWidth="1"/>
    <col min="4358" max="4358" width="13.7109375" customWidth="1"/>
    <col min="4364" max="4364" width="15.42578125" customWidth="1"/>
    <col min="4365" max="4365" width="12" bestFit="1" customWidth="1"/>
    <col min="4609" max="4612" width="12.5703125" customWidth="1"/>
    <col min="4613" max="4613" width="21.85546875" customWidth="1"/>
    <col min="4614" max="4614" width="13.7109375" customWidth="1"/>
    <col min="4620" max="4620" width="15.42578125" customWidth="1"/>
    <col min="4621" max="4621" width="12" bestFit="1" customWidth="1"/>
    <col min="4865" max="4868" width="12.5703125" customWidth="1"/>
    <col min="4869" max="4869" width="21.85546875" customWidth="1"/>
    <col min="4870" max="4870" width="13.7109375" customWidth="1"/>
    <col min="4876" max="4876" width="15.42578125" customWidth="1"/>
    <col min="4877" max="4877" width="12" bestFit="1" customWidth="1"/>
    <col min="5121" max="5124" width="12.5703125" customWidth="1"/>
    <col min="5125" max="5125" width="21.85546875" customWidth="1"/>
    <col min="5126" max="5126" width="13.7109375" customWidth="1"/>
    <col min="5132" max="5132" width="15.42578125" customWidth="1"/>
    <col min="5133" max="5133" width="12" bestFit="1" customWidth="1"/>
    <col min="5377" max="5380" width="12.5703125" customWidth="1"/>
    <col min="5381" max="5381" width="21.85546875" customWidth="1"/>
    <col min="5382" max="5382" width="13.7109375" customWidth="1"/>
    <col min="5388" max="5388" width="15.42578125" customWidth="1"/>
    <col min="5389" max="5389" width="12" bestFit="1" customWidth="1"/>
    <col min="5633" max="5636" width="12.5703125" customWidth="1"/>
    <col min="5637" max="5637" width="21.85546875" customWidth="1"/>
    <col min="5638" max="5638" width="13.7109375" customWidth="1"/>
    <col min="5644" max="5644" width="15.42578125" customWidth="1"/>
    <col min="5645" max="5645" width="12" bestFit="1" customWidth="1"/>
    <col min="5889" max="5892" width="12.5703125" customWidth="1"/>
    <col min="5893" max="5893" width="21.85546875" customWidth="1"/>
    <col min="5894" max="5894" width="13.7109375" customWidth="1"/>
    <col min="5900" max="5900" width="15.42578125" customWidth="1"/>
    <col min="5901" max="5901" width="12" bestFit="1" customWidth="1"/>
    <col min="6145" max="6148" width="12.5703125" customWidth="1"/>
    <col min="6149" max="6149" width="21.85546875" customWidth="1"/>
    <col min="6150" max="6150" width="13.7109375" customWidth="1"/>
    <col min="6156" max="6156" width="15.42578125" customWidth="1"/>
    <col min="6157" max="6157" width="12" bestFit="1" customWidth="1"/>
    <col min="6401" max="6404" width="12.5703125" customWidth="1"/>
    <col min="6405" max="6405" width="21.85546875" customWidth="1"/>
    <col min="6406" max="6406" width="13.7109375" customWidth="1"/>
    <col min="6412" max="6412" width="15.42578125" customWidth="1"/>
    <col min="6413" max="6413" width="12" bestFit="1" customWidth="1"/>
    <col min="6657" max="6660" width="12.5703125" customWidth="1"/>
    <col min="6661" max="6661" width="21.85546875" customWidth="1"/>
    <col min="6662" max="6662" width="13.7109375" customWidth="1"/>
    <col min="6668" max="6668" width="15.42578125" customWidth="1"/>
    <col min="6669" max="6669" width="12" bestFit="1" customWidth="1"/>
    <col min="6913" max="6916" width="12.5703125" customWidth="1"/>
    <col min="6917" max="6917" width="21.85546875" customWidth="1"/>
    <col min="6918" max="6918" width="13.7109375" customWidth="1"/>
    <col min="6924" max="6924" width="15.42578125" customWidth="1"/>
    <col min="6925" max="6925" width="12" bestFit="1" customWidth="1"/>
    <col min="7169" max="7172" width="12.5703125" customWidth="1"/>
    <col min="7173" max="7173" width="21.85546875" customWidth="1"/>
    <col min="7174" max="7174" width="13.7109375" customWidth="1"/>
    <col min="7180" max="7180" width="15.42578125" customWidth="1"/>
    <col min="7181" max="7181" width="12" bestFit="1" customWidth="1"/>
    <col min="7425" max="7428" width="12.5703125" customWidth="1"/>
    <col min="7429" max="7429" width="21.85546875" customWidth="1"/>
    <col min="7430" max="7430" width="13.7109375" customWidth="1"/>
    <col min="7436" max="7436" width="15.42578125" customWidth="1"/>
    <col min="7437" max="7437" width="12" bestFit="1" customWidth="1"/>
    <col min="7681" max="7684" width="12.5703125" customWidth="1"/>
    <col min="7685" max="7685" width="21.85546875" customWidth="1"/>
    <col min="7686" max="7686" width="13.7109375" customWidth="1"/>
    <col min="7692" max="7692" width="15.42578125" customWidth="1"/>
    <col min="7693" max="7693" width="12" bestFit="1" customWidth="1"/>
    <col min="7937" max="7940" width="12.5703125" customWidth="1"/>
    <col min="7941" max="7941" width="21.85546875" customWidth="1"/>
    <col min="7942" max="7942" width="13.7109375" customWidth="1"/>
    <col min="7948" max="7948" width="15.42578125" customWidth="1"/>
    <col min="7949" max="7949" width="12" bestFit="1" customWidth="1"/>
    <col min="8193" max="8196" width="12.5703125" customWidth="1"/>
    <col min="8197" max="8197" width="21.85546875" customWidth="1"/>
    <col min="8198" max="8198" width="13.7109375" customWidth="1"/>
    <col min="8204" max="8204" width="15.42578125" customWidth="1"/>
    <col min="8205" max="8205" width="12" bestFit="1" customWidth="1"/>
    <col min="8449" max="8452" width="12.5703125" customWidth="1"/>
    <col min="8453" max="8453" width="21.85546875" customWidth="1"/>
    <col min="8454" max="8454" width="13.7109375" customWidth="1"/>
    <col min="8460" max="8460" width="15.42578125" customWidth="1"/>
    <col min="8461" max="8461" width="12" bestFit="1" customWidth="1"/>
    <col min="8705" max="8708" width="12.5703125" customWidth="1"/>
    <col min="8709" max="8709" width="21.85546875" customWidth="1"/>
    <col min="8710" max="8710" width="13.7109375" customWidth="1"/>
    <col min="8716" max="8716" width="15.42578125" customWidth="1"/>
    <col min="8717" max="8717" width="12" bestFit="1" customWidth="1"/>
    <col min="8961" max="8964" width="12.5703125" customWidth="1"/>
    <col min="8965" max="8965" width="21.85546875" customWidth="1"/>
    <col min="8966" max="8966" width="13.7109375" customWidth="1"/>
    <col min="8972" max="8972" width="15.42578125" customWidth="1"/>
    <col min="8973" max="8973" width="12" bestFit="1" customWidth="1"/>
    <col min="9217" max="9220" width="12.5703125" customWidth="1"/>
    <col min="9221" max="9221" width="21.85546875" customWidth="1"/>
    <col min="9222" max="9222" width="13.7109375" customWidth="1"/>
    <col min="9228" max="9228" width="15.42578125" customWidth="1"/>
    <col min="9229" max="9229" width="12" bestFit="1" customWidth="1"/>
    <col min="9473" max="9476" width="12.5703125" customWidth="1"/>
    <col min="9477" max="9477" width="21.85546875" customWidth="1"/>
    <col min="9478" max="9478" width="13.7109375" customWidth="1"/>
    <col min="9484" max="9484" width="15.42578125" customWidth="1"/>
    <col min="9485" max="9485" width="12" bestFit="1" customWidth="1"/>
    <col min="9729" max="9732" width="12.5703125" customWidth="1"/>
    <col min="9733" max="9733" width="21.85546875" customWidth="1"/>
    <col min="9734" max="9734" width="13.7109375" customWidth="1"/>
    <col min="9740" max="9740" width="15.42578125" customWidth="1"/>
    <col min="9741" max="9741" width="12" bestFit="1" customWidth="1"/>
    <col min="9985" max="9988" width="12.5703125" customWidth="1"/>
    <col min="9989" max="9989" width="21.85546875" customWidth="1"/>
    <col min="9990" max="9990" width="13.7109375" customWidth="1"/>
    <col min="9996" max="9996" width="15.42578125" customWidth="1"/>
    <col min="9997" max="9997" width="12" bestFit="1" customWidth="1"/>
    <col min="10241" max="10244" width="12.5703125" customWidth="1"/>
    <col min="10245" max="10245" width="21.85546875" customWidth="1"/>
    <col min="10246" max="10246" width="13.7109375" customWidth="1"/>
    <col min="10252" max="10252" width="15.42578125" customWidth="1"/>
    <col min="10253" max="10253" width="12" bestFit="1" customWidth="1"/>
    <col min="10497" max="10500" width="12.5703125" customWidth="1"/>
    <col min="10501" max="10501" width="21.85546875" customWidth="1"/>
    <col min="10502" max="10502" width="13.7109375" customWidth="1"/>
    <col min="10508" max="10508" width="15.42578125" customWidth="1"/>
    <col min="10509" max="10509" width="12" bestFit="1" customWidth="1"/>
    <col min="10753" max="10756" width="12.5703125" customWidth="1"/>
    <col min="10757" max="10757" width="21.85546875" customWidth="1"/>
    <col min="10758" max="10758" width="13.7109375" customWidth="1"/>
    <col min="10764" max="10764" width="15.42578125" customWidth="1"/>
    <col min="10765" max="10765" width="12" bestFit="1" customWidth="1"/>
    <col min="11009" max="11012" width="12.5703125" customWidth="1"/>
    <col min="11013" max="11013" width="21.85546875" customWidth="1"/>
    <col min="11014" max="11014" width="13.7109375" customWidth="1"/>
    <col min="11020" max="11020" width="15.42578125" customWidth="1"/>
    <col min="11021" max="11021" width="12" bestFit="1" customWidth="1"/>
    <col min="11265" max="11268" width="12.5703125" customWidth="1"/>
    <col min="11269" max="11269" width="21.85546875" customWidth="1"/>
    <col min="11270" max="11270" width="13.7109375" customWidth="1"/>
    <col min="11276" max="11276" width="15.42578125" customWidth="1"/>
    <col min="11277" max="11277" width="12" bestFit="1" customWidth="1"/>
    <col min="11521" max="11524" width="12.5703125" customWidth="1"/>
    <col min="11525" max="11525" width="21.85546875" customWidth="1"/>
    <col min="11526" max="11526" width="13.7109375" customWidth="1"/>
    <col min="11532" max="11532" width="15.42578125" customWidth="1"/>
    <col min="11533" max="11533" width="12" bestFit="1" customWidth="1"/>
    <col min="11777" max="11780" width="12.5703125" customWidth="1"/>
    <col min="11781" max="11781" width="21.85546875" customWidth="1"/>
    <col min="11782" max="11782" width="13.7109375" customWidth="1"/>
    <col min="11788" max="11788" width="15.42578125" customWidth="1"/>
    <col min="11789" max="11789" width="12" bestFit="1" customWidth="1"/>
    <col min="12033" max="12036" width="12.5703125" customWidth="1"/>
    <col min="12037" max="12037" width="21.85546875" customWidth="1"/>
    <col min="12038" max="12038" width="13.7109375" customWidth="1"/>
    <col min="12044" max="12044" width="15.42578125" customWidth="1"/>
    <col min="12045" max="12045" width="12" bestFit="1" customWidth="1"/>
    <col min="12289" max="12292" width="12.5703125" customWidth="1"/>
    <col min="12293" max="12293" width="21.85546875" customWidth="1"/>
    <col min="12294" max="12294" width="13.7109375" customWidth="1"/>
    <col min="12300" max="12300" width="15.42578125" customWidth="1"/>
    <col min="12301" max="12301" width="12" bestFit="1" customWidth="1"/>
    <col min="12545" max="12548" width="12.5703125" customWidth="1"/>
    <col min="12549" max="12549" width="21.85546875" customWidth="1"/>
    <col min="12550" max="12550" width="13.7109375" customWidth="1"/>
    <col min="12556" max="12556" width="15.42578125" customWidth="1"/>
    <col min="12557" max="12557" width="12" bestFit="1" customWidth="1"/>
    <col min="12801" max="12804" width="12.5703125" customWidth="1"/>
    <col min="12805" max="12805" width="21.85546875" customWidth="1"/>
    <col min="12806" max="12806" width="13.7109375" customWidth="1"/>
    <col min="12812" max="12812" width="15.42578125" customWidth="1"/>
    <col min="12813" max="12813" width="12" bestFit="1" customWidth="1"/>
    <col min="13057" max="13060" width="12.5703125" customWidth="1"/>
    <col min="13061" max="13061" width="21.85546875" customWidth="1"/>
    <col min="13062" max="13062" width="13.7109375" customWidth="1"/>
    <col min="13068" max="13068" width="15.42578125" customWidth="1"/>
    <col min="13069" max="13069" width="12" bestFit="1" customWidth="1"/>
    <col min="13313" max="13316" width="12.5703125" customWidth="1"/>
    <col min="13317" max="13317" width="21.85546875" customWidth="1"/>
    <col min="13318" max="13318" width="13.7109375" customWidth="1"/>
    <col min="13324" max="13324" width="15.42578125" customWidth="1"/>
    <col min="13325" max="13325" width="12" bestFit="1" customWidth="1"/>
    <col min="13569" max="13572" width="12.5703125" customWidth="1"/>
    <col min="13573" max="13573" width="21.85546875" customWidth="1"/>
    <col min="13574" max="13574" width="13.7109375" customWidth="1"/>
    <col min="13580" max="13580" width="15.42578125" customWidth="1"/>
    <col min="13581" max="13581" width="12" bestFit="1" customWidth="1"/>
    <col min="13825" max="13828" width="12.5703125" customWidth="1"/>
    <col min="13829" max="13829" width="21.85546875" customWidth="1"/>
    <col min="13830" max="13830" width="13.7109375" customWidth="1"/>
    <col min="13836" max="13836" width="15.42578125" customWidth="1"/>
    <col min="13837" max="13837" width="12" bestFit="1" customWidth="1"/>
    <col min="14081" max="14084" width="12.5703125" customWidth="1"/>
    <col min="14085" max="14085" width="21.85546875" customWidth="1"/>
    <col min="14086" max="14086" width="13.7109375" customWidth="1"/>
    <col min="14092" max="14092" width="15.42578125" customWidth="1"/>
    <col min="14093" max="14093" width="12" bestFit="1" customWidth="1"/>
    <col min="14337" max="14340" width="12.5703125" customWidth="1"/>
    <col min="14341" max="14341" width="21.85546875" customWidth="1"/>
    <col min="14342" max="14342" width="13.7109375" customWidth="1"/>
    <col min="14348" max="14348" width="15.42578125" customWidth="1"/>
    <col min="14349" max="14349" width="12" bestFit="1" customWidth="1"/>
    <col min="14593" max="14596" width="12.5703125" customWidth="1"/>
    <col min="14597" max="14597" width="21.85546875" customWidth="1"/>
    <col min="14598" max="14598" width="13.7109375" customWidth="1"/>
    <col min="14604" max="14604" width="15.42578125" customWidth="1"/>
    <col min="14605" max="14605" width="12" bestFit="1" customWidth="1"/>
    <col min="14849" max="14852" width="12.5703125" customWidth="1"/>
    <col min="14853" max="14853" width="21.85546875" customWidth="1"/>
    <col min="14854" max="14854" width="13.7109375" customWidth="1"/>
    <col min="14860" max="14860" width="15.42578125" customWidth="1"/>
    <col min="14861" max="14861" width="12" bestFit="1" customWidth="1"/>
    <col min="15105" max="15108" width="12.5703125" customWidth="1"/>
    <col min="15109" max="15109" width="21.85546875" customWidth="1"/>
    <col min="15110" max="15110" width="13.7109375" customWidth="1"/>
    <col min="15116" max="15116" width="15.42578125" customWidth="1"/>
    <col min="15117" max="15117" width="12" bestFit="1" customWidth="1"/>
    <col min="15361" max="15364" width="12.5703125" customWidth="1"/>
    <col min="15365" max="15365" width="21.85546875" customWidth="1"/>
    <col min="15366" max="15366" width="13.7109375" customWidth="1"/>
    <col min="15372" max="15372" width="15.42578125" customWidth="1"/>
    <col min="15373" max="15373" width="12" bestFit="1" customWidth="1"/>
    <col min="15617" max="15620" width="12.5703125" customWidth="1"/>
    <col min="15621" max="15621" width="21.85546875" customWidth="1"/>
    <col min="15622" max="15622" width="13.7109375" customWidth="1"/>
    <col min="15628" max="15628" width="15.42578125" customWidth="1"/>
    <col min="15629" max="15629" width="12" bestFit="1" customWidth="1"/>
    <col min="15873" max="15876" width="12.5703125" customWidth="1"/>
    <col min="15877" max="15877" width="21.85546875" customWidth="1"/>
    <col min="15878" max="15878" width="13.7109375" customWidth="1"/>
    <col min="15884" max="15884" width="15.42578125" customWidth="1"/>
    <col min="15885" max="15885" width="12" bestFit="1" customWidth="1"/>
    <col min="16129" max="16132" width="12.5703125" customWidth="1"/>
    <col min="16133" max="16133" width="21.85546875" customWidth="1"/>
    <col min="16134" max="16134" width="13.7109375" customWidth="1"/>
    <col min="16140" max="16140" width="15.42578125" customWidth="1"/>
    <col min="16141" max="16141" width="12" bestFit="1" customWidth="1"/>
  </cols>
  <sheetData>
    <row r="1" spans="1:4" x14ac:dyDescent="0.25">
      <c r="A1" t="s">
        <v>20</v>
      </c>
      <c r="D1" t="s">
        <v>21</v>
      </c>
    </row>
    <row r="2" spans="1:4" x14ac:dyDescent="0.25">
      <c r="A2" t="s">
        <v>22</v>
      </c>
      <c r="D2" t="s">
        <v>23</v>
      </c>
    </row>
    <row r="3" spans="1:4" x14ac:dyDescent="0.25">
      <c r="A3" t="s">
        <v>24</v>
      </c>
      <c r="D3" t="s">
        <v>25</v>
      </c>
    </row>
    <row r="4" spans="1:4" x14ac:dyDescent="0.25">
      <c r="A4" t="s">
        <v>26</v>
      </c>
      <c r="D4" t="s">
        <v>27</v>
      </c>
    </row>
    <row r="5" spans="1:4" x14ac:dyDescent="0.25">
      <c r="A5" t="s">
        <v>28</v>
      </c>
      <c r="D5" t="s">
        <v>29</v>
      </c>
    </row>
    <row r="6" spans="1:4" x14ac:dyDescent="0.25">
      <c r="A6" t="s">
        <v>30</v>
      </c>
      <c r="D6" t="s">
        <v>31</v>
      </c>
    </row>
    <row r="7" spans="1:4" x14ac:dyDescent="0.25">
      <c r="A7" t="s">
        <v>32</v>
      </c>
      <c r="D7" t="s">
        <v>33</v>
      </c>
    </row>
    <row r="8" spans="1:4" x14ac:dyDescent="0.25">
      <c r="A8" t="s">
        <v>34</v>
      </c>
      <c r="D8" t="s">
        <v>35</v>
      </c>
    </row>
    <row r="19" spans="5:36" x14ac:dyDescent="0.25">
      <c r="E19" s="42" t="s">
        <v>94</v>
      </c>
      <c r="F19" s="42"/>
      <c r="I19" s="42" t="s">
        <v>94</v>
      </c>
      <c r="J19" s="42"/>
      <c r="O19" s="42" t="s">
        <v>94</v>
      </c>
      <c r="P19" s="42"/>
      <c r="U19" s="42" t="s">
        <v>94</v>
      </c>
      <c r="V19" s="42"/>
      <c r="AB19" s="42" t="s">
        <v>94</v>
      </c>
      <c r="AC19" s="42"/>
      <c r="AH19" s="42" t="s">
        <v>94</v>
      </c>
      <c r="AI19" s="42"/>
    </row>
    <row r="20" spans="5:36" x14ac:dyDescent="0.25">
      <c r="J20" t="s">
        <v>36</v>
      </c>
      <c r="P20" t="s">
        <v>37</v>
      </c>
      <c r="V20" s="222" t="s">
        <v>38</v>
      </c>
      <c r="W20" s="222"/>
      <c r="X20" s="222"/>
      <c r="AC20" t="s">
        <v>39</v>
      </c>
    </row>
    <row r="21" spans="5:36" x14ac:dyDescent="0.25">
      <c r="E21" s="8" t="s">
        <v>40</v>
      </c>
      <c r="F21" s="8" t="s">
        <v>41</v>
      </c>
      <c r="G21" s="8" t="s">
        <v>42</v>
      </c>
      <c r="I21" s="8" t="s">
        <v>40</v>
      </c>
      <c r="J21" s="8" t="s">
        <v>43</v>
      </c>
      <c r="K21" s="8" t="s">
        <v>44</v>
      </c>
      <c r="L21" s="8" t="s">
        <v>45</v>
      </c>
      <c r="M21" s="8" t="s">
        <v>42</v>
      </c>
      <c r="O21" s="8" t="s">
        <v>40</v>
      </c>
      <c r="P21" s="8" t="s">
        <v>46</v>
      </c>
      <c r="Q21" s="8" t="s">
        <v>47</v>
      </c>
      <c r="R21" s="8" t="s">
        <v>45</v>
      </c>
      <c r="S21" s="8" t="s">
        <v>42</v>
      </c>
      <c r="U21" s="8" t="s">
        <v>40</v>
      </c>
      <c r="V21" s="8" t="s">
        <v>48</v>
      </c>
      <c r="W21" s="8" t="s">
        <v>49</v>
      </c>
      <c r="X21" s="8" t="s">
        <v>50</v>
      </c>
      <c r="Y21" s="8" t="s">
        <v>45</v>
      </c>
      <c r="Z21" s="8" t="s">
        <v>42</v>
      </c>
      <c r="AB21" s="8" t="s">
        <v>51</v>
      </c>
      <c r="AC21" s="8" t="s">
        <v>52</v>
      </c>
      <c r="AD21" s="8" t="s">
        <v>53</v>
      </c>
      <c r="AE21" s="8" t="s">
        <v>45</v>
      </c>
      <c r="AF21" s="8" t="s">
        <v>42</v>
      </c>
      <c r="AH21" s="8" t="s">
        <v>54</v>
      </c>
      <c r="AI21" s="8" t="s">
        <v>41</v>
      </c>
      <c r="AJ21" s="8" t="s">
        <v>55</v>
      </c>
    </row>
    <row r="22" spans="5:36" x14ac:dyDescent="0.25">
      <c r="E22" s="9" t="s">
        <v>56</v>
      </c>
      <c r="F22">
        <v>10</v>
      </c>
      <c r="G22" s="10">
        <f>+F22/58</f>
        <v>0.17241379310344829</v>
      </c>
      <c r="I22" s="9" t="s">
        <v>56</v>
      </c>
      <c r="J22">
        <v>4</v>
      </c>
      <c r="K22">
        <v>6</v>
      </c>
      <c r="L22">
        <v>10</v>
      </c>
      <c r="M22" s="10">
        <f>+L22/58</f>
        <v>0.17241379310344829</v>
      </c>
      <c r="O22" s="9" t="s">
        <v>56</v>
      </c>
      <c r="P22">
        <v>4</v>
      </c>
      <c r="Q22">
        <v>6</v>
      </c>
      <c r="R22">
        <v>10</v>
      </c>
      <c r="S22" s="10">
        <f>+R22/58</f>
        <v>0.17241379310344829</v>
      </c>
      <c r="U22" s="9" t="s">
        <v>56</v>
      </c>
      <c r="V22">
        <v>2</v>
      </c>
      <c r="W22">
        <v>6</v>
      </c>
      <c r="X22">
        <v>2</v>
      </c>
      <c r="Y22">
        <v>10</v>
      </c>
      <c r="Z22" s="10">
        <f>+Y22/58</f>
        <v>0.17241379310344829</v>
      </c>
      <c r="AB22" s="9">
        <v>1</v>
      </c>
      <c r="AC22">
        <v>1</v>
      </c>
      <c r="AD22">
        <v>16</v>
      </c>
      <c r="AE22">
        <v>17</v>
      </c>
      <c r="AF22" s="10">
        <f>+AE22/58</f>
        <v>0.29310344827586204</v>
      </c>
      <c r="AH22" s="9" t="s">
        <v>46</v>
      </c>
      <c r="AI22">
        <v>33</v>
      </c>
      <c r="AJ22" s="11">
        <v>29.757575757575758</v>
      </c>
    </row>
    <row r="23" spans="5:36" x14ac:dyDescent="0.25">
      <c r="E23" s="9" t="s">
        <v>57</v>
      </c>
      <c r="F23">
        <v>19</v>
      </c>
      <c r="G23" s="10">
        <f>+F23/58</f>
        <v>0.32758620689655171</v>
      </c>
      <c r="I23" s="9" t="s">
        <v>57</v>
      </c>
      <c r="J23">
        <v>14</v>
      </c>
      <c r="K23">
        <v>5</v>
      </c>
      <c r="L23">
        <v>19</v>
      </c>
      <c r="M23" s="10">
        <f>+L23/58</f>
        <v>0.32758620689655171</v>
      </c>
      <c r="O23" s="9" t="s">
        <v>57</v>
      </c>
      <c r="P23">
        <v>10</v>
      </c>
      <c r="Q23">
        <v>9</v>
      </c>
      <c r="R23">
        <v>19</v>
      </c>
      <c r="S23" s="10">
        <f>+R23/58</f>
        <v>0.32758620689655171</v>
      </c>
      <c r="U23" s="9" t="s">
        <v>57</v>
      </c>
      <c r="V23">
        <v>7</v>
      </c>
      <c r="W23">
        <v>8</v>
      </c>
      <c r="X23">
        <v>4</v>
      </c>
      <c r="Y23">
        <v>19</v>
      </c>
      <c r="Z23" s="10">
        <f>+Y23/58</f>
        <v>0.32758620689655171</v>
      </c>
      <c r="AB23" s="9">
        <v>2</v>
      </c>
      <c r="AC23">
        <v>3</v>
      </c>
      <c r="AD23">
        <v>22</v>
      </c>
      <c r="AE23">
        <v>25</v>
      </c>
      <c r="AF23" s="10">
        <f>+AE23/58</f>
        <v>0.43103448275862066</v>
      </c>
      <c r="AH23" s="9" t="s">
        <v>47</v>
      </c>
      <c r="AI23">
        <v>25</v>
      </c>
      <c r="AJ23" s="11">
        <v>32.6</v>
      </c>
    </row>
    <row r="24" spans="5:36" x14ac:dyDescent="0.25">
      <c r="E24" s="9" t="s">
        <v>58</v>
      </c>
      <c r="F24">
        <v>29</v>
      </c>
      <c r="G24" s="10">
        <f>+F24/58</f>
        <v>0.5</v>
      </c>
      <c r="I24" s="9" t="s">
        <v>58</v>
      </c>
      <c r="J24">
        <v>29</v>
      </c>
      <c r="L24">
        <v>29</v>
      </c>
      <c r="M24" s="10">
        <f>+L24/58</f>
        <v>0.5</v>
      </c>
      <c r="O24" s="9" t="s">
        <v>58</v>
      </c>
      <c r="P24">
        <v>19</v>
      </c>
      <c r="Q24">
        <v>10</v>
      </c>
      <c r="R24">
        <v>29</v>
      </c>
      <c r="S24" s="10">
        <f>+R24/58</f>
        <v>0.5</v>
      </c>
      <c r="U24" s="9" t="s">
        <v>58</v>
      </c>
      <c r="V24">
        <v>8</v>
      </c>
      <c r="W24">
        <v>11</v>
      </c>
      <c r="X24">
        <v>10</v>
      </c>
      <c r="Y24">
        <v>29</v>
      </c>
      <c r="Z24" s="10">
        <f>+Y24/58</f>
        <v>0.5</v>
      </c>
      <c r="AB24" s="9">
        <v>3</v>
      </c>
      <c r="AC24">
        <v>2</v>
      </c>
      <c r="AD24">
        <v>14</v>
      </c>
      <c r="AE24">
        <v>16</v>
      </c>
      <c r="AF24" s="10">
        <f>+AE24/58</f>
        <v>0.27586206896551724</v>
      </c>
      <c r="AH24" s="12" t="s">
        <v>45</v>
      </c>
      <c r="AI24" s="13">
        <v>58</v>
      </c>
      <c r="AJ24" s="14">
        <v>30.982758620689655</v>
      </c>
    </row>
    <row r="25" spans="5:36" x14ac:dyDescent="0.25">
      <c r="E25" s="12" t="s">
        <v>45</v>
      </c>
      <c r="F25" s="13">
        <v>58</v>
      </c>
      <c r="G25" s="15">
        <f>+F25/58</f>
        <v>1</v>
      </c>
      <c r="I25" s="12" t="s">
        <v>45</v>
      </c>
      <c r="J25" s="13">
        <v>47</v>
      </c>
      <c r="K25" s="13">
        <v>11</v>
      </c>
      <c r="L25" s="13">
        <v>58</v>
      </c>
      <c r="M25" s="15">
        <f>+L25/58</f>
        <v>1</v>
      </c>
      <c r="O25" s="12" t="s">
        <v>45</v>
      </c>
      <c r="P25" s="13">
        <v>33</v>
      </c>
      <c r="Q25" s="13">
        <v>25</v>
      </c>
      <c r="R25" s="13">
        <v>58</v>
      </c>
      <c r="S25" s="15">
        <f>+R25/58</f>
        <v>1</v>
      </c>
      <c r="U25" s="12" t="s">
        <v>45</v>
      </c>
      <c r="V25" s="13">
        <v>17</v>
      </c>
      <c r="W25" s="13">
        <v>25</v>
      </c>
      <c r="X25" s="13">
        <v>16</v>
      </c>
      <c r="Y25" s="13">
        <v>58</v>
      </c>
      <c r="Z25" s="15">
        <f>+Y25/58</f>
        <v>1</v>
      </c>
      <c r="AB25" s="12" t="s">
        <v>45</v>
      </c>
      <c r="AC25" s="13">
        <v>6</v>
      </c>
      <c r="AD25" s="13">
        <v>52</v>
      </c>
      <c r="AE25" s="13">
        <v>58</v>
      </c>
      <c r="AF25" s="15">
        <f>+AE25/58</f>
        <v>1</v>
      </c>
    </row>
    <row r="26" spans="5:36" x14ac:dyDescent="0.25">
      <c r="I26" s="12" t="s">
        <v>42</v>
      </c>
      <c r="J26" s="16">
        <f>+J25/58</f>
        <v>0.81034482758620685</v>
      </c>
      <c r="K26" s="16">
        <f>+K25/58</f>
        <v>0.18965517241379309</v>
      </c>
      <c r="L26" s="15">
        <f>+L25/58</f>
        <v>1</v>
      </c>
      <c r="M26" s="10"/>
      <c r="O26" s="12" t="s">
        <v>42</v>
      </c>
      <c r="P26" s="16">
        <f>+P25/58</f>
        <v>0.56896551724137934</v>
      </c>
      <c r="Q26" s="16">
        <f>+Q25/58</f>
        <v>0.43103448275862066</v>
      </c>
      <c r="R26" s="15">
        <f>+R25/58</f>
        <v>1</v>
      </c>
      <c r="U26" s="12" t="s">
        <v>42</v>
      </c>
      <c r="V26" s="16">
        <f>+V25/58</f>
        <v>0.29310344827586204</v>
      </c>
      <c r="W26" s="16">
        <f>+W25/58</f>
        <v>0.43103448275862066</v>
      </c>
      <c r="X26" s="16">
        <f>+X25/58</f>
        <v>0.27586206896551724</v>
      </c>
      <c r="Y26" s="16">
        <f>+Y25/58</f>
        <v>1</v>
      </c>
      <c r="AB26" s="12" t="s">
        <v>42</v>
      </c>
      <c r="AC26" s="16">
        <f>+AC25/58</f>
        <v>0.10344827586206896</v>
      </c>
      <c r="AD26" s="16">
        <f>+AD25/58</f>
        <v>0.89655172413793105</v>
      </c>
      <c r="AE26" s="16">
        <f>+AE25/58</f>
        <v>1</v>
      </c>
    </row>
    <row r="50" spans="5:17" ht="90" x14ac:dyDescent="0.25">
      <c r="E50" s="17" t="s">
        <v>59</v>
      </c>
      <c r="F50" s="18" t="s">
        <v>60</v>
      </c>
      <c r="G50" s="19" t="s">
        <v>0</v>
      </c>
      <c r="H50" s="19" t="s">
        <v>1</v>
      </c>
      <c r="I50" s="19" t="s">
        <v>2</v>
      </c>
      <c r="J50" s="19" t="s">
        <v>3</v>
      </c>
      <c r="K50" s="19" t="s">
        <v>4</v>
      </c>
      <c r="L50" s="19" t="s">
        <v>5</v>
      </c>
      <c r="M50" s="19" t="s">
        <v>6</v>
      </c>
      <c r="N50" s="19" t="s">
        <v>7</v>
      </c>
      <c r="O50" s="19" t="s">
        <v>8</v>
      </c>
      <c r="P50" s="19" t="s">
        <v>9</v>
      </c>
      <c r="Q50" s="19" t="s">
        <v>61</v>
      </c>
    </row>
    <row r="51" spans="5:17" x14ac:dyDescent="0.25">
      <c r="E51" s="20" t="s">
        <v>58</v>
      </c>
      <c r="F51" s="17" t="s">
        <v>62</v>
      </c>
      <c r="G51" s="21">
        <v>25.951724137931034</v>
      </c>
      <c r="H51" s="21">
        <v>91.810344827586206</v>
      </c>
      <c r="I51" s="21">
        <v>44.393103448275873</v>
      </c>
      <c r="J51" s="21">
        <v>70.186206896551724</v>
      </c>
      <c r="K51" s="21">
        <v>83.075862068965492</v>
      </c>
      <c r="L51" s="21">
        <v>14.399999999999999</v>
      </c>
      <c r="M51" s="21">
        <v>6.1827586206896559</v>
      </c>
      <c r="N51" s="21">
        <v>35.162068965517236</v>
      </c>
      <c r="O51" s="21">
        <v>8.206896551724137</v>
      </c>
      <c r="P51" s="21">
        <v>65.531034482758614</v>
      </c>
      <c r="Q51" s="21">
        <v>124.13103448275861</v>
      </c>
    </row>
    <row r="52" spans="5:17" x14ac:dyDescent="0.25">
      <c r="E52" s="20" t="s">
        <v>58</v>
      </c>
      <c r="F52" s="17" t="s">
        <v>63</v>
      </c>
      <c r="G52" s="21">
        <v>1.0196906307816223</v>
      </c>
      <c r="H52" s="21">
        <v>0.8507218729484749</v>
      </c>
      <c r="I52" s="21">
        <v>0.57648781671408489</v>
      </c>
      <c r="J52" s="21">
        <v>0.9085353901315314</v>
      </c>
      <c r="K52" s="21">
        <v>0.41702249683600384</v>
      </c>
      <c r="L52" s="21">
        <v>0.83297200705186925</v>
      </c>
      <c r="M52" s="21">
        <v>1.071852925420252</v>
      </c>
      <c r="N52" s="21">
        <v>1.0519792955442513</v>
      </c>
      <c r="O52" s="21">
        <v>0.83804150987758497</v>
      </c>
      <c r="P52" s="21">
        <v>1.8706318803364048</v>
      </c>
      <c r="Q52" s="21">
        <v>1.1417955724506372</v>
      </c>
    </row>
    <row r="53" spans="5:17" x14ac:dyDescent="0.25">
      <c r="E53" s="20" t="s">
        <v>58</v>
      </c>
      <c r="F53" s="17" t="s">
        <v>64</v>
      </c>
      <c r="G53" s="21">
        <v>24.3</v>
      </c>
      <c r="H53" s="21">
        <v>92.8</v>
      </c>
      <c r="I53" s="21">
        <v>44.2</v>
      </c>
      <c r="J53" s="21">
        <v>69.900000000000006</v>
      </c>
      <c r="K53" s="21">
        <v>84.1</v>
      </c>
      <c r="L53" s="21">
        <v>14.5</v>
      </c>
      <c r="M53" s="21">
        <v>5.0999999999999996</v>
      </c>
      <c r="N53" s="21">
        <v>36.200000000000003</v>
      </c>
      <c r="O53" s="21">
        <v>8.8000000000000007</v>
      </c>
      <c r="P53" s="21">
        <v>65.2</v>
      </c>
      <c r="Q53" s="21">
        <v>123.3</v>
      </c>
    </row>
    <row r="54" spans="5:17" x14ac:dyDescent="0.25">
      <c r="E54" s="20" t="s">
        <v>58</v>
      </c>
      <c r="F54" s="17" t="s">
        <v>65</v>
      </c>
      <c r="G54" s="21">
        <v>29</v>
      </c>
      <c r="H54" s="21">
        <v>29</v>
      </c>
      <c r="I54" s="21">
        <v>29</v>
      </c>
      <c r="J54" s="21">
        <v>29</v>
      </c>
      <c r="K54" s="21">
        <v>29</v>
      </c>
      <c r="L54" s="21">
        <v>29</v>
      </c>
      <c r="M54" s="21">
        <v>29</v>
      </c>
      <c r="N54" s="21">
        <v>29</v>
      </c>
      <c r="O54" s="21">
        <v>29</v>
      </c>
      <c r="P54" s="21">
        <v>29</v>
      </c>
      <c r="Q54" s="21">
        <v>29</v>
      </c>
    </row>
    <row r="55" spans="5:17" x14ac:dyDescent="0.25">
      <c r="E55" s="17" t="s">
        <v>66</v>
      </c>
      <c r="F55" s="17" t="s">
        <v>67</v>
      </c>
      <c r="G55" s="22">
        <v>2.1178487182527128E-5</v>
      </c>
      <c r="H55" s="21">
        <v>0.10433139106099398</v>
      </c>
      <c r="I55" s="21">
        <v>0.56568414828961255</v>
      </c>
      <c r="J55" s="21">
        <v>0.64780250013135121</v>
      </c>
      <c r="K55" s="22">
        <v>4.7672266473652858E-4</v>
      </c>
      <c r="L55" s="21">
        <v>0.92227921753667386</v>
      </c>
      <c r="M55" s="21">
        <v>0.14963314398857597</v>
      </c>
      <c r="N55" s="22">
        <v>2.729724824275781E-2</v>
      </c>
      <c r="O55" s="21">
        <v>0.26761027826064332</v>
      </c>
      <c r="P55" s="21">
        <v>0.2817795013400799</v>
      </c>
      <c r="Q55" s="21">
        <v>0.32011519083073781</v>
      </c>
    </row>
    <row r="56" spans="5:17" x14ac:dyDescent="0.25">
      <c r="E56" s="17" t="s">
        <v>68</v>
      </c>
      <c r="F56" s="17" t="s">
        <v>67</v>
      </c>
      <c r="G56" s="21">
        <v>0.83951987269105777</v>
      </c>
      <c r="H56" s="21">
        <v>0.9647791235228369</v>
      </c>
      <c r="I56" s="21">
        <v>0.88400408338180136</v>
      </c>
      <c r="J56" s="21">
        <v>0.87467849962989197</v>
      </c>
      <c r="K56" s="21">
        <v>0.26012729622258235</v>
      </c>
      <c r="L56" s="21">
        <v>0.21650471793132153</v>
      </c>
      <c r="M56" s="21">
        <v>0.24111239980157884</v>
      </c>
      <c r="N56" s="21">
        <v>5.3149165716702695E-2</v>
      </c>
      <c r="O56" s="21">
        <v>0.14282484387162009</v>
      </c>
      <c r="P56" s="21">
        <v>0.54920118449677624</v>
      </c>
      <c r="Q56" s="21">
        <v>0.83737906919966498</v>
      </c>
    </row>
    <row r="57" spans="5:17" x14ac:dyDescent="0.25">
      <c r="E57" s="20" t="s">
        <v>56</v>
      </c>
      <c r="F57" s="17" t="s">
        <v>62</v>
      </c>
      <c r="G57" s="21">
        <v>32.39</v>
      </c>
      <c r="H57" s="21">
        <v>92.140000000000015</v>
      </c>
      <c r="I57" s="21">
        <v>45.2</v>
      </c>
      <c r="J57" s="21">
        <v>60.559999999999988</v>
      </c>
      <c r="K57" s="21">
        <v>93.17</v>
      </c>
      <c r="L57" s="21">
        <v>14.87</v>
      </c>
      <c r="M57" s="21">
        <v>4.9000000000000004</v>
      </c>
      <c r="N57" s="21">
        <v>26.080000000000002</v>
      </c>
      <c r="O57" s="21">
        <v>10.28</v>
      </c>
      <c r="P57" s="21">
        <v>85.910000000000011</v>
      </c>
      <c r="Q57" s="21">
        <v>131.95999999999998</v>
      </c>
    </row>
    <row r="58" spans="5:17" x14ac:dyDescent="0.25">
      <c r="E58" s="20" t="s">
        <v>56</v>
      </c>
      <c r="F58" s="17" t="s">
        <v>63</v>
      </c>
      <c r="G58" s="21">
        <v>1.0648369723942617</v>
      </c>
      <c r="H58" s="21">
        <v>1.3698499512314801</v>
      </c>
      <c r="I58" s="21">
        <v>1.2663157408622685</v>
      </c>
      <c r="J58" s="21">
        <v>1.5535049976674606</v>
      </c>
      <c r="K58" s="21">
        <v>1.2634212810196501</v>
      </c>
      <c r="L58" s="21">
        <v>1.6932578723343421</v>
      </c>
      <c r="M58" s="21">
        <v>3.4837400081585375</v>
      </c>
      <c r="N58" s="21">
        <v>1.8693908693000074</v>
      </c>
      <c r="O58" s="21">
        <v>2.0952751078981913</v>
      </c>
      <c r="P58" s="21">
        <v>2.8608254442070074</v>
      </c>
      <c r="Q58" s="21">
        <v>2.2042988303161919</v>
      </c>
    </row>
    <row r="59" spans="5:17" x14ac:dyDescent="0.25">
      <c r="E59" s="20" t="s">
        <v>56</v>
      </c>
      <c r="F59" s="17" t="s">
        <v>64</v>
      </c>
      <c r="G59" s="21">
        <v>32.299999999999997</v>
      </c>
      <c r="H59" s="21">
        <v>91.9</v>
      </c>
      <c r="I59" s="21">
        <v>44.099999999999994</v>
      </c>
      <c r="J59" s="21">
        <v>60.2</v>
      </c>
      <c r="K59" s="21">
        <v>93.1</v>
      </c>
      <c r="L59" s="21">
        <v>16.600000000000001</v>
      </c>
      <c r="M59" s="21">
        <v>7.6999999999999993</v>
      </c>
      <c r="N59" s="21">
        <v>28.7</v>
      </c>
      <c r="O59" s="21">
        <v>10.3</v>
      </c>
      <c r="P59" s="21">
        <v>84</v>
      </c>
      <c r="Q59" s="21">
        <v>130</v>
      </c>
    </row>
    <row r="60" spans="5:17" x14ac:dyDescent="0.25">
      <c r="E60" s="20" t="s">
        <v>56</v>
      </c>
      <c r="F60" s="17" t="s">
        <v>65</v>
      </c>
      <c r="G60" s="21">
        <v>10</v>
      </c>
      <c r="H60" s="21">
        <v>10</v>
      </c>
      <c r="I60" s="21">
        <v>10</v>
      </c>
      <c r="J60" s="21">
        <v>10</v>
      </c>
      <c r="K60" s="21">
        <v>10</v>
      </c>
      <c r="L60" s="21">
        <v>10</v>
      </c>
      <c r="M60" s="21">
        <v>10</v>
      </c>
      <c r="N60" s="21">
        <v>10</v>
      </c>
      <c r="O60" s="21">
        <v>10</v>
      </c>
      <c r="P60" s="21">
        <v>10</v>
      </c>
      <c r="Q60" s="21">
        <v>10</v>
      </c>
    </row>
    <row r="61" spans="5:17" x14ac:dyDescent="0.25">
      <c r="E61" s="17" t="s">
        <v>66</v>
      </c>
      <c r="F61" s="17" t="s">
        <v>67</v>
      </c>
      <c r="G61" s="21">
        <v>0.9899733620025889</v>
      </c>
      <c r="H61" s="21">
        <v>0.66150766932730776</v>
      </c>
      <c r="I61" s="21">
        <v>8.6351637615949994E-2</v>
      </c>
      <c r="J61" s="21">
        <v>0.89664314624600816</v>
      </c>
      <c r="K61" s="21">
        <v>0.32729396504854291</v>
      </c>
      <c r="L61" s="22">
        <v>8.3527352678310907E-3</v>
      </c>
      <c r="M61" s="22">
        <v>1.0559156383554424E-2</v>
      </c>
      <c r="N61" s="21">
        <v>0.19716978516945194</v>
      </c>
      <c r="O61" s="21">
        <v>7.7470676373287195E-2</v>
      </c>
      <c r="P61" s="21">
        <v>0.7549294252755655</v>
      </c>
      <c r="Q61" s="21">
        <v>0.34753478971011109</v>
      </c>
    </row>
    <row r="62" spans="5:17" x14ac:dyDescent="0.25">
      <c r="E62" s="17" t="s">
        <v>68</v>
      </c>
      <c r="F62" s="17" t="s">
        <v>67</v>
      </c>
      <c r="G62" s="21">
        <v>0.1095603682244185</v>
      </c>
      <c r="H62" s="21">
        <v>0.27314557750284807</v>
      </c>
      <c r="I62" s="21">
        <v>7.4543765185553834E-2</v>
      </c>
      <c r="J62" s="21">
        <v>0.12065434306079159</v>
      </c>
      <c r="K62" s="21">
        <v>0.54519470488530775</v>
      </c>
      <c r="L62" s="21">
        <v>0.21363245467524594</v>
      </c>
      <c r="M62" s="21">
        <v>0.43480437478399658</v>
      </c>
      <c r="N62" s="21">
        <v>0.19155862147571079</v>
      </c>
      <c r="O62" s="21">
        <v>0.88872491202742132</v>
      </c>
      <c r="P62" s="21">
        <v>0.58771243226490677</v>
      </c>
      <c r="Q62" s="21">
        <v>8.1195902825690891E-2</v>
      </c>
    </row>
    <row r="63" spans="5:17" x14ac:dyDescent="0.25">
      <c r="E63" s="20" t="s">
        <v>57</v>
      </c>
      <c r="F63" s="17" t="s">
        <v>62</v>
      </c>
      <c r="G63">
        <v>19.078947368421051</v>
      </c>
      <c r="H63">
        <v>93.184210526315795</v>
      </c>
      <c r="I63">
        <v>43.657894736842096</v>
      </c>
      <c r="J63">
        <v>83.673684210526318</v>
      </c>
      <c r="K63">
        <v>99.4157894736842</v>
      </c>
      <c r="L63">
        <v>8.9842105263157901</v>
      </c>
      <c r="M63">
        <v>3.4157894736842107</v>
      </c>
      <c r="N63">
        <v>47.731578947368419</v>
      </c>
      <c r="O63">
        <v>5.5684210526315789</v>
      </c>
      <c r="P63">
        <v>103.81578947368422</v>
      </c>
      <c r="Q63">
        <v>118.83684210526316</v>
      </c>
    </row>
    <row r="64" spans="5:17" x14ac:dyDescent="0.25">
      <c r="E64" s="20" t="s">
        <v>57</v>
      </c>
      <c r="F64" s="17" t="s">
        <v>63</v>
      </c>
      <c r="G64">
        <v>0.17498186161111132</v>
      </c>
      <c r="H64">
        <v>0.80703279924558957</v>
      </c>
      <c r="I64">
        <v>0.56087420223206474</v>
      </c>
      <c r="J64">
        <v>0.60513601512305903</v>
      </c>
      <c r="K64">
        <v>1.5439991962451078</v>
      </c>
      <c r="L64">
        <v>0.24137316210725757</v>
      </c>
      <c r="M64">
        <v>0.13162572268001885</v>
      </c>
      <c r="N64">
        <v>0.31269930548034758</v>
      </c>
      <c r="O64">
        <v>0.23878991128136703</v>
      </c>
      <c r="P64">
        <v>1.6421577439506949</v>
      </c>
      <c r="Q64">
        <v>0.56097297087609777</v>
      </c>
    </row>
    <row r="65" spans="5:17" x14ac:dyDescent="0.25">
      <c r="E65" s="20" t="s">
        <v>57</v>
      </c>
      <c r="F65" s="17" t="s">
        <v>64</v>
      </c>
      <c r="G65">
        <v>19</v>
      </c>
      <c r="H65">
        <v>92.6</v>
      </c>
      <c r="I65">
        <v>43.3</v>
      </c>
      <c r="J65">
        <v>83.4</v>
      </c>
      <c r="K65">
        <v>99.7</v>
      </c>
      <c r="L65">
        <v>9.1999999999999993</v>
      </c>
      <c r="M65">
        <v>3.2</v>
      </c>
      <c r="N65">
        <v>47.5</v>
      </c>
      <c r="O65">
        <v>5.7</v>
      </c>
      <c r="P65">
        <v>105.4</v>
      </c>
      <c r="Q65">
        <v>118.6</v>
      </c>
    </row>
    <row r="66" spans="5:17" x14ac:dyDescent="0.25">
      <c r="E66" s="20" t="s">
        <v>57</v>
      </c>
      <c r="F66" s="17" t="s">
        <v>65</v>
      </c>
      <c r="G66">
        <v>19</v>
      </c>
      <c r="H66">
        <v>19</v>
      </c>
      <c r="I66">
        <v>19</v>
      </c>
      <c r="J66">
        <v>19</v>
      </c>
      <c r="K66">
        <v>19</v>
      </c>
      <c r="L66">
        <v>19</v>
      </c>
      <c r="M66">
        <v>19</v>
      </c>
      <c r="N66">
        <v>19</v>
      </c>
      <c r="O66">
        <v>19</v>
      </c>
      <c r="P66">
        <v>19</v>
      </c>
      <c r="Q66">
        <v>19</v>
      </c>
    </row>
    <row r="67" spans="5:17" x14ac:dyDescent="0.25">
      <c r="E67" s="17" t="s">
        <v>66</v>
      </c>
      <c r="F67" s="17" t="s">
        <v>67</v>
      </c>
      <c r="G67">
        <v>0.67675690516420339</v>
      </c>
      <c r="H67">
        <v>0.2645090198898763</v>
      </c>
      <c r="I67">
        <v>0.12101359401586531</v>
      </c>
      <c r="J67">
        <v>0.94203101194892769</v>
      </c>
      <c r="K67">
        <v>0.42679533131621605</v>
      </c>
      <c r="L67">
        <v>0.27781085062369493</v>
      </c>
      <c r="M67" s="41">
        <v>1.1274159980185883E-2</v>
      </c>
      <c r="N67">
        <v>0.62664083898446254</v>
      </c>
      <c r="O67">
        <v>0.14399024736512678</v>
      </c>
      <c r="P67" s="41">
        <v>4.3091694758734866E-2</v>
      </c>
      <c r="Q67" s="41">
        <v>1.1121677630665516E-4</v>
      </c>
    </row>
    <row r="68" spans="5:17" x14ac:dyDescent="0.25">
      <c r="E68" s="17" t="s">
        <v>68</v>
      </c>
      <c r="F68" s="17" t="s">
        <v>67</v>
      </c>
      <c r="G68" s="21">
        <v>0.309508825278829</v>
      </c>
      <c r="H68" s="21">
        <v>0.9979398809970218</v>
      </c>
      <c r="I68" s="21">
        <v>0.71807393209999593</v>
      </c>
      <c r="J68" s="21">
        <v>0.49982909049080204</v>
      </c>
      <c r="K68" s="21">
        <v>0.66782978050567976</v>
      </c>
      <c r="L68" s="21">
        <v>7.6178916614994208E-2</v>
      </c>
      <c r="M68" s="21">
        <v>0.6595019563891884</v>
      </c>
      <c r="N68" s="21">
        <v>0.74398239249957177</v>
      </c>
      <c r="O68" s="21">
        <v>0.57374340974371552</v>
      </c>
      <c r="P68" s="21">
        <v>0.27787911499119666</v>
      </c>
      <c r="Q68" s="21">
        <v>0.53468721509283601</v>
      </c>
    </row>
    <row r="73" spans="5:17" x14ac:dyDescent="0.25">
      <c r="E73" t="s">
        <v>69</v>
      </c>
    </row>
    <row r="76" spans="5:17" ht="51" customHeight="1" thickBot="1" x14ac:dyDescent="0.3">
      <c r="E76" s="120"/>
      <c r="F76" s="120"/>
      <c r="G76" s="149" t="s">
        <v>62</v>
      </c>
      <c r="H76" s="149" t="s">
        <v>64</v>
      </c>
      <c r="I76" s="149" t="s">
        <v>153</v>
      </c>
      <c r="J76" s="149" t="s">
        <v>154</v>
      </c>
      <c r="K76" s="149" t="s">
        <v>155</v>
      </c>
      <c r="L76" s="149" t="s">
        <v>93</v>
      </c>
      <c r="M76" s="149" t="s">
        <v>92</v>
      </c>
    </row>
    <row r="77" spans="5:17" ht="15" customHeight="1" x14ac:dyDescent="0.25">
      <c r="E77" s="223" t="s">
        <v>72</v>
      </c>
      <c r="F77" s="23" t="s">
        <v>58</v>
      </c>
      <c r="G77" s="115">
        <v>25.951724137931034</v>
      </c>
      <c r="H77" s="115">
        <v>24.3</v>
      </c>
      <c r="I77" s="121">
        <v>2.0999999999999999E-5</v>
      </c>
      <c r="J77" s="226">
        <v>2.0000000000000001E-4</v>
      </c>
      <c r="K77" s="226">
        <v>6.0099999999999997E-9</v>
      </c>
      <c r="L77" s="122">
        <v>0.1</v>
      </c>
      <c r="M77" s="123">
        <v>1.1E-5</v>
      </c>
    </row>
    <row r="78" spans="5:17" x14ac:dyDescent="0.25">
      <c r="E78" s="224"/>
      <c r="F78" s="20" t="s">
        <v>93</v>
      </c>
      <c r="G78" s="116">
        <v>32.39</v>
      </c>
      <c r="H78" s="116">
        <v>32.299999999999997</v>
      </c>
      <c r="I78" s="118">
        <v>0.98899999999999999</v>
      </c>
      <c r="J78" s="227"/>
      <c r="K78" s="229"/>
      <c r="L78" s="25"/>
      <c r="M78" s="124">
        <v>1.3E-7</v>
      </c>
    </row>
    <row r="79" spans="5:17" ht="15.75" thickBot="1" x14ac:dyDescent="0.3">
      <c r="E79" s="225"/>
      <c r="F79" s="26" t="s">
        <v>92</v>
      </c>
      <c r="G79" s="117">
        <v>19.078947368421051</v>
      </c>
      <c r="H79" s="117">
        <v>19</v>
      </c>
      <c r="I79" s="125">
        <v>0.67700000000000005</v>
      </c>
      <c r="J79" s="228"/>
      <c r="K79" s="230"/>
      <c r="L79" s="28"/>
      <c r="M79" s="126" t="s">
        <v>73</v>
      </c>
    </row>
    <row r="80" spans="5:17" x14ac:dyDescent="0.25">
      <c r="E80" s="231" t="s">
        <v>74</v>
      </c>
      <c r="F80" s="23" t="s">
        <v>58</v>
      </c>
      <c r="G80" s="115">
        <v>91.810344827586206</v>
      </c>
      <c r="H80" s="115">
        <v>92.8</v>
      </c>
      <c r="I80" s="119">
        <v>0.10433139106099398</v>
      </c>
      <c r="J80" s="234">
        <v>0.46</v>
      </c>
      <c r="K80" s="234">
        <v>0.54</v>
      </c>
      <c r="L80" s="127">
        <v>0.83</v>
      </c>
      <c r="M80" s="128">
        <v>0.27</v>
      </c>
    </row>
    <row r="81" spans="5:13" x14ac:dyDescent="0.25">
      <c r="E81" s="232"/>
      <c r="F81" s="20" t="s">
        <v>93</v>
      </c>
      <c r="G81" s="116">
        <v>92.140000000000015</v>
      </c>
      <c r="H81" s="116">
        <v>91.9</v>
      </c>
      <c r="I81" s="118">
        <v>0.66150766932730776</v>
      </c>
      <c r="J81" s="229"/>
      <c r="K81" s="229"/>
      <c r="L81" s="25"/>
      <c r="M81" s="129">
        <v>0.53</v>
      </c>
    </row>
    <row r="82" spans="5:13" ht="15.75" thickBot="1" x14ac:dyDescent="0.3">
      <c r="E82" s="233"/>
      <c r="F82" s="26" t="s">
        <v>92</v>
      </c>
      <c r="G82" s="117">
        <v>93.184210526315795</v>
      </c>
      <c r="H82" s="117">
        <v>92.6</v>
      </c>
      <c r="I82" s="125">
        <v>0.2645090198898763</v>
      </c>
      <c r="J82" s="230"/>
      <c r="K82" s="230"/>
      <c r="L82" s="28"/>
      <c r="M82" s="126"/>
    </row>
    <row r="83" spans="5:13" ht="15" customHeight="1" x14ac:dyDescent="0.25">
      <c r="E83" s="231" t="s">
        <v>75</v>
      </c>
      <c r="F83" s="23" t="s">
        <v>58</v>
      </c>
      <c r="G83" s="115">
        <v>44.393103448275873</v>
      </c>
      <c r="H83" s="115">
        <v>44.2</v>
      </c>
      <c r="I83" s="119">
        <v>0.56568414828961255</v>
      </c>
      <c r="J83" s="234">
        <v>0.51900000000000002</v>
      </c>
      <c r="K83" s="235">
        <v>0.432</v>
      </c>
      <c r="L83" s="205">
        <v>6.0883949924385611E-5</v>
      </c>
      <c r="M83" s="206">
        <v>6.1415230385898231E-2</v>
      </c>
    </row>
    <row r="84" spans="5:13" x14ac:dyDescent="0.25">
      <c r="E84" s="232"/>
      <c r="F84" s="20" t="s">
        <v>93</v>
      </c>
      <c r="G84" s="221">
        <v>48.910000000000004</v>
      </c>
      <c r="H84" s="221">
        <v>48.35</v>
      </c>
      <c r="I84" s="118">
        <v>8.6351637615949994E-2</v>
      </c>
      <c r="J84" s="229"/>
      <c r="K84" s="236"/>
      <c r="L84" s="130"/>
      <c r="M84" s="207">
        <v>9.4840817299730177E-7</v>
      </c>
    </row>
    <row r="85" spans="5:13" ht="15.75" thickBot="1" x14ac:dyDescent="0.3">
      <c r="E85" s="233"/>
      <c r="F85" s="26" t="s">
        <v>92</v>
      </c>
      <c r="G85" s="220">
        <v>42.794736842105259</v>
      </c>
      <c r="H85" s="220">
        <v>42.8</v>
      </c>
      <c r="I85" s="125">
        <v>0.12101359401586531</v>
      </c>
      <c r="J85" s="230"/>
      <c r="K85" s="237"/>
      <c r="L85" s="131"/>
      <c r="M85" s="132"/>
    </row>
    <row r="86" spans="5:13" ht="15" customHeight="1" x14ac:dyDescent="0.25">
      <c r="E86" s="238" t="s">
        <v>76</v>
      </c>
      <c r="F86" s="23" t="s">
        <v>147</v>
      </c>
      <c r="G86" s="115">
        <v>70.186206896551724</v>
      </c>
      <c r="H86" s="115">
        <v>69.900000000000006</v>
      </c>
      <c r="I86" s="119">
        <v>0.64780250013135121</v>
      </c>
      <c r="J86" s="234">
        <v>0.13200000000000001</v>
      </c>
      <c r="K86" s="226">
        <v>1.0999999999999999E-9</v>
      </c>
      <c r="L86" s="133">
        <v>1.04E-7</v>
      </c>
      <c r="M86" s="123">
        <v>5.6000000000000003E-15</v>
      </c>
    </row>
    <row r="87" spans="5:13" x14ac:dyDescent="0.25">
      <c r="E87" s="239"/>
      <c r="F87" s="20" t="s">
        <v>150</v>
      </c>
      <c r="G87" s="116">
        <v>60.559999999999988</v>
      </c>
      <c r="H87" s="116">
        <v>60.2</v>
      </c>
      <c r="I87" s="118">
        <v>0.89664314624600816</v>
      </c>
      <c r="J87" s="229"/>
      <c r="K87" s="229"/>
      <c r="L87" s="25"/>
      <c r="M87" s="124">
        <v>1.7000000000000001E-19</v>
      </c>
    </row>
    <row r="88" spans="5:13" ht="15.75" thickBot="1" x14ac:dyDescent="0.3">
      <c r="E88" s="240"/>
      <c r="F88" s="26" t="s">
        <v>151</v>
      </c>
      <c r="G88" s="117">
        <v>83.673684210526318</v>
      </c>
      <c r="H88" s="117">
        <v>83.4</v>
      </c>
      <c r="I88" s="125">
        <v>0.94203101194892769</v>
      </c>
      <c r="J88" s="230"/>
      <c r="K88" s="230"/>
      <c r="L88" s="28"/>
      <c r="M88" s="126"/>
    </row>
    <row r="89" spans="5:13" ht="15" customHeight="1" x14ac:dyDescent="0.25">
      <c r="E89" s="238" t="s">
        <v>77</v>
      </c>
      <c r="F89" s="23" t="s">
        <v>58</v>
      </c>
      <c r="G89" s="208">
        <v>83.075862068965492</v>
      </c>
      <c r="H89" s="208">
        <v>84.1</v>
      </c>
      <c r="I89" s="209">
        <v>4.7672266473652858E-4</v>
      </c>
      <c r="J89" s="241">
        <v>7.4000000000000003E-6</v>
      </c>
      <c r="K89" s="241">
        <v>7.5999999999999996E-10</v>
      </c>
      <c r="L89" s="210">
        <v>2E-3</v>
      </c>
      <c r="M89" s="211">
        <v>3E-9</v>
      </c>
    </row>
    <row r="90" spans="5:13" x14ac:dyDescent="0.25">
      <c r="E90" s="239"/>
      <c r="F90" s="20" t="s">
        <v>93</v>
      </c>
      <c r="G90" s="212">
        <v>78.17</v>
      </c>
      <c r="H90" s="212">
        <v>93.1</v>
      </c>
      <c r="I90" s="213">
        <v>0.32729396504854291</v>
      </c>
      <c r="J90" s="242"/>
      <c r="K90" s="242"/>
      <c r="L90" s="214"/>
      <c r="M90" s="215">
        <v>2.3E-6</v>
      </c>
    </row>
    <row r="91" spans="5:13" ht="15.75" thickBot="1" x14ac:dyDescent="0.3">
      <c r="E91" s="240"/>
      <c r="F91" s="26" t="s">
        <v>92</v>
      </c>
      <c r="G91" s="216">
        <v>99.4157894736842</v>
      </c>
      <c r="H91" s="216">
        <v>99.7</v>
      </c>
      <c r="I91" s="217">
        <v>0.42679533131621605</v>
      </c>
      <c r="J91" s="243"/>
      <c r="K91" s="243"/>
      <c r="L91" s="218"/>
      <c r="M91" s="219"/>
    </row>
    <row r="92" spans="5:13" ht="15" customHeight="1" x14ac:dyDescent="0.25">
      <c r="E92" s="238" t="s">
        <v>78</v>
      </c>
      <c r="F92" s="23" t="s">
        <v>147</v>
      </c>
      <c r="G92" s="115">
        <v>14.399999999999999</v>
      </c>
      <c r="H92" s="115">
        <v>14.5</v>
      </c>
      <c r="I92" s="134">
        <v>0.92227921753667386</v>
      </c>
      <c r="J92" s="226">
        <v>2.9999999999999997E-4</v>
      </c>
      <c r="K92" s="226">
        <v>1.2999999999999999E-5</v>
      </c>
      <c r="L92" s="135">
        <v>0.78200000000000003</v>
      </c>
      <c r="M92" s="123">
        <v>1E-4</v>
      </c>
    </row>
    <row r="93" spans="5:13" x14ac:dyDescent="0.25">
      <c r="E93" s="239"/>
      <c r="F93" s="20" t="s">
        <v>152</v>
      </c>
      <c r="G93" s="116">
        <v>14.87</v>
      </c>
      <c r="H93" s="116">
        <v>16.600000000000001</v>
      </c>
      <c r="I93" s="136">
        <v>8.3527352678310907E-3</v>
      </c>
      <c r="J93" s="229"/>
      <c r="K93" s="229"/>
      <c r="L93" s="137"/>
      <c r="M93" s="124">
        <v>5.9999999999999995E-4</v>
      </c>
    </row>
    <row r="94" spans="5:13" ht="15.75" thickBot="1" x14ac:dyDescent="0.3">
      <c r="E94" s="240"/>
      <c r="F94" s="26" t="s">
        <v>149</v>
      </c>
      <c r="G94" s="117">
        <v>8.9842105263157901</v>
      </c>
      <c r="H94" s="117">
        <v>9.1999999999999993</v>
      </c>
      <c r="I94" s="125">
        <v>0.27781085062369493</v>
      </c>
      <c r="J94" s="230"/>
      <c r="K94" s="230"/>
      <c r="L94" s="138"/>
      <c r="M94" s="29"/>
    </row>
    <row r="95" spans="5:13" x14ac:dyDescent="0.25">
      <c r="E95" s="231" t="s">
        <v>79</v>
      </c>
      <c r="F95" s="23" t="s">
        <v>58</v>
      </c>
      <c r="G95" s="115">
        <v>6.1827586206896559</v>
      </c>
      <c r="H95" s="115">
        <v>5.0999999999999996</v>
      </c>
      <c r="I95" s="119">
        <v>0.14963314398857597</v>
      </c>
      <c r="J95" s="244">
        <v>6.9999999999999999E-4</v>
      </c>
      <c r="K95" s="247">
        <v>5.8000000000000003E-2</v>
      </c>
      <c r="L95" s="139">
        <v>0.84</v>
      </c>
      <c r="M95" s="128">
        <v>0.13</v>
      </c>
    </row>
    <row r="96" spans="5:13" x14ac:dyDescent="0.25">
      <c r="E96" s="224"/>
      <c r="F96" s="20" t="s">
        <v>93</v>
      </c>
      <c r="G96" s="116">
        <v>4.9000000000000004</v>
      </c>
      <c r="H96" s="116">
        <v>7.6999999999999993</v>
      </c>
      <c r="I96" s="136">
        <v>1.0559156383554424E-2</v>
      </c>
      <c r="J96" s="245"/>
      <c r="K96" s="248"/>
      <c r="L96" s="140"/>
      <c r="M96" s="129">
        <v>0.12</v>
      </c>
    </row>
    <row r="97" spans="5:13" ht="15.75" thickBot="1" x14ac:dyDescent="0.3">
      <c r="E97" s="225"/>
      <c r="F97" s="26" t="s">
        <v>92</v>
      </c>
      <c r="G97" s="117">
        <v>3.4157894736842107</v>
      </c>
      <c r="H97" s="117">
        <v>3.2</v>
      </c>
      <c r="I97" s="141">
        <v>1.1274159980185883E-2</v>
      </c>
      <c r="J97" s="246"/>
      <c r="K97" s="249"/>
      <c r="L97" s="142"/>
      <c r="M97" s="126"/>
    </row>
    <row r="98" spans="5:13" x14ac:dyDescent="0.25">
      <c r="E98" s="231" t="s">
        <v>80</v>
      </c>
      <c r="F98" s="23" t="s">
        <v>147</v>
      </c>
      <c r="G98" s="115">
        <v>35.162068965517236</v>
      </c>
      <c r="H98" s="115">
        <v>36.200000000000003</v>
      </c>
      <c r="I98" s="143">
        <v>2.729724824275781E-2</v>
      </c>
      <c r="J98" s="226">
        <v>2.0000000000000001E-4</v>
      </c>
      <c r="K98" s="226">
        <v>3.7999999999999998E-10</v>
      </c>
      <c r="L98" s="127">
        <v>5.7000000000000002E-2</v>
      </c>
      <c r="M98" s="123">
        <v>2.7999999999999999E-6</v>
      </c>
    </row>
    <row r="99" spans="5:13" x14ac:dyDescent="0.25">
      <c r="E99" s="224"/>
      <c r="F99" s="20" t="s">
        <v>152</v>
      </c>
      <c r="G99" s="116">
        <v>26.080000000000002</v>
      </c>
      <c r="H99" s="116">
        <v>28.7</v>
      </c>
      <c r="I99" s="118">
        <v>0.19716978516945194</v>
      </c>
      <c r="J99" s="229"/>
      <c r="K99" s="229"/>
      <c r="L99" s="25"/>
      <c r="M99" s="124">
        <v>1.03E-8</v>
      </c>
    </row>
    <row r="100" spans="5:13" ht="15.75" thickBot="1" x14ac:dyDescent="0.3">
      <c r="E100" s="225"/>
      <c r="F100" s="26" t="s">
        <v>151</v>
      </c>
      <c r="G100" s="117">
        <v>47.731578947368419</v>
      </c>
      <c r="H100" s="117">
        <v>47.5</v>
      </c>
      <c r="I100" s="125">
        <v>0.62664083898446254</v>
      </c>
      <c r="J100" s="230"/>
      <c r="K100" s="230"/>
      <c r="L100" s="28"/>
      <c r="M100" s="126"/>
    </row>
    <row r="101" spans="5:13" ht="15" customHeight="1" x14ac:dyDescent="0.25">
      <c r="E101" s="231" t="s">
        <v>81</v>
      </c>
      <c r="F101" s="23" t="s">
        <v>147</v>
      </c>
      <c r="G101" s="115">
        <v>8.206896551724137</v>
      </c>
      <c r="H101" s="115">
        <v>8.8000000000000007</v>
      </c>
      <c r="I101" s="119">
        <v>0.26761027826064332</v>
      </c>
      <c r="J101" s="234">
        <v>0.22154814252805366</v>
      </c>
      <c r="K101" s="244">
        <v>0.02</v>
      </c>
      <c r="L101" s="122">
        <v>0.187</v>
      </c>
      <c r="M101" s="144">
        <v>3.9E-2</v>
      </c>
    </row>
    <row r="102" spans="5:13" x14ac:dyDescent="0.25">
      <c r="E102" s="224"/>
      <c r="F102" s="20" t="s">
        <v>148</v>
      </c>
      <c r="G102" s="116">
        <v>10.28</v>
      </c>
      <c r="H102" s="116">
        <v>10.3</v>
      </c>
      <c r="I102" s="118">
        <v>7.7470676373287195E-2</v>
      </c>
      <c r="J102" s="229"/>
      <c r="K102" s="229"/>
      <c r="L102" s="25"/>
      <c r="M102" s="145">
        <v>6.0000000000000001E-3</v>
      </c>
    </row>
    <row r="103" spans="5:13" ht="15.75" thickBot="1" x14ac:dyDescent="0.3">
      <c r="E103" s="225"/>
      <c r="F103" s="26" t="s">
        <v>149</v>
      </c>
      <c r="G103" s="117">
        <v>5.5684210526315789</v>
      </c>
      <c r="H103" s="117">
        <v>5.7</v>
      </c>
      <c r="I103" s="125">
        <v>0.14399024736512678</v>
      </c>
      <c r="J103" s="230"/>
      <c r="K103" s="230"/>
      <c r="L103" s="28"/>
      <c r="M103" s="30"/>
    </row>
    <row r="104" spans="5:13" ht="15" customHeight="1" x14ac:dyDescent="0.25">
      <c r="E104" s="238" t="s">
        <v>82</v>
      </c>
      <c r="F104" s="23" t="s">
        <v>147</v>
      </c>
      <c r="G104" s="115">
        <v>65.531034482758614</v>
      </c>
      <c r="H104" s="115">
        <v>65.2</v>
      </c>
      <c r="I104" s="119">
        <v>0.2817795013400799</v>
      </c>
      <c r="J104" s="254">
        <v>0.52900000000000003</v>
      </c>
      <c r="K104" s="226">
        <v>1.9E-19</v>
      </c>
      <c r="L104" s="121">
        <v>9.3999999999999995E-8</v>
      </c>
      <c r="M104" s="146">
        <v>3.1999999999999997E-20</v>
      </c>
    </row>
    <row r="105" spans="5:13" x14ac:dyDescent="0.25">
      <c r="E105" s="252"/>
      <c r="F105" s="20" t="s">
        <v>150</v>
      </c>
      <c r="G105" s="116">
        <v>85.910000000000011</v>
      </c>
      <c r="H105" s="116">
        <v>84</v>
      </c>
      <c r="I105" s="118">
        <v>0.7549294252755655</v>
      </c>
      <c r="J105" s="255"/>
      <c r="K105" s="250"/>
      <c r="L105" s="112"/>
      <c r="M105" s="147">
        <v>4.8999999999999997E-6</v>
      </c>
    </row>
    <row r="106" spans="5:13" ht="15.75" thickBot="1" x14ac:dyDescent="0.3">
      <c r="E106" s="253"/>
      <c r="F106" s="26" t="s">
        <v>151</v>
      </c>
      <c r="G106" s="117">
        <v>103.81578947368422</v>
      </c>
      <c r="H106" s="117">
        <v>105.4</v>
      </c>
      <c r="I106" s="141">
        <v>4.3091694758734866E-2</v>
      </c>
      <c r="J106" s="256"/>
      <c r="K106" s="251"/>
      <c r="L106" s="28"/>
      <c r="M106" s="30"/>
    </row>
    <row r="107" spans="5:13" ht="15" customHeight="1" x14ac:dyDescent="0.25">
      <c r="E107" s="231" t="s">
        <v>83</v>
      </c>
      <c r="F107" s="23" t="s">
        <v>147</v>
      </c>
      <c r="G107" s="115">
        <v>124.13103448275861</v>
      </c>
      <c r="H107" s="148">
        <v>123.3</v>
      </c>
      <c r="I107" s="119">
        <v>0.32011519083073781</v>
      </c>
      <c r="J107" s="226">
        <v>2.9999999999999997E-4</v>
      </c>
      <c r="K107" s="226">
        <v>9.5000000000000005E-6</v>
      </c>
      <c r="L107" s="114">
        <v>7.0000000000000007E-2</v>
      </c>
      <c r="M107" s="31">
        <v>5.0000000000000001E-3</v>
      </c>
    </row>
    <row r="108" spans="5:13" x14ac:dyDescent="0.25">
      <c r="E108" s="232"/>
      <c r="F108" s="20" t="s">
        <v>148</v>
      </c>
      <c r="G108" s="116">
        <v>131.95999999999998</v>
      </c>
      <c r="H108" s="116">
        <v>130</v>
      </c>
      <c r="I108" s="118">
        <v>0.34753478971011109</v>
      </c>
      <c r="J108" s="229"/>
      <c r="K108" s="250"/>
      <c r="L108" s="25"/>
      <c r="M108" s="147">
        <v>2.1999999999999999E-5</v>
      </c>
    </row>
    <row r="109" spans="5:13" ht="15.75" thickBot="1" x14ac:dyDescent="0.3">
      <c r="E109" s="233"/>
      <c r="F109" s="26" t="s">
        <v>149</v>
      </c>
      <c r="G109" s="117">
        <v>118.83684210526316</v>
      </c>
      <c r="H109" s="117">
        <v>118.6</v>
      </c>
      <c r="I109" s="141">
        <v>1.1121677630665516E-4</v>
      </c>
      <c r="J109" s="230"/>
      <c r="K109" s="251"/>
      <c r="L109" s="28"/>
      <c r="M109" s="29"/>
    </row>
    <row r="114" ht="1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" customHeight="1" x14ac:dyDescent="0.25"/>
    <row r="121" ht="15.75" customHeight="1" x14ac:dyDescent="0.25"/>
    <row r="122" ht="15.75" customHeight="1" x14ac:dyDescent="0.25"/>
    <row r="123" ht="15" customHeight="1" x14ac:dyDescent="0.25"/>
    <row r="124" ht="15.75" customHeight="1" x14ac:dyDescent="0.25"/>
    <row r="125" ht="15.75" customHeight="1" x14ac:dyDescent="0.25"/>
    <row r="126" ht="15" customHeight="1" x14ac:dyDescent="0.25"/>
    <row r="127" ht="15.75" customHeight="1" x14ac:dyDescent="0.25"/>
    <row r="128" ht="15.75" customHeight="1" x14ac:dyDescent="0.25"/>
    <row r="129" ht="1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" customHeight="1" x14ac:dyDescent="0.25"/>
    <row r="139" ht="15.75" customHeight="1" x14ac:dyDescent="0.25"/>
    <row r="140" ht="15.75" customHeight="1" x14ac:dyDescent="0.25"/>
    <row r="141" ht="15" customHeight="1" x14ac:dyDescent="0.25"/>
    <row r="142" ht="15.75" customHeight="1" x14ac:dyDescent="0.25"/>
    <row r="143" ht="15.75" customHeight="1" x14ac:dyDescent="0.25"/>
    <row r="144" ht="15" customHeight="1" x14ac:dyDescent="0.25"/>
    <row r="145" ht="15.75" customHeight="1" x14ac:dyDescent="0.25"/>
    <row r="146" ht="15.75" customHeight="1" x14ac:dyDescent="0.25"/>
  </sheetData>
  <mergeCells count="34">
    <mergeCell ref="E107:E109"/>
    <mergeCell ref="J107:J109"/>
    <mergeCell ref="K107:K109"/>
    <mergeCell ref="E101:E103"/>
    <mergeCell ref="J101:J103"/>
    <mergeCell ref="K101:K103"/>
    <mergeCell ref="E104:E106"/>
    <mergeCell ref="J104:J106"/>
    <mergeCell ref="K104:K106"/>
    <mergeCell ref="E95:E97"/>
    <mergeCell ref="J95:J97"/>
    <mergeCell ref="K95:K97"/>
    <mergeCell ref="E98:E100"/>
    <mergeCell ref="J98:J100"/>
    <mergeCell ref="K98:K100"/>
    <mergeCell ref="E89:E91"/>
    <mergeCell ref="J89:J91"/>
    <mergeCell ref="K89:K91"/>
    <mergeCell ref="E92:E94"/>
    <mergeCell ref="J92:J94"/>
    <mergeCell ref="K92:K94"/>
    <mergeCell ref="E83:E85"/>
    <mergeCell ref="J83:J85"/>
    <mergeCell ref="K83:K85"/>
    <mergeCell ref="E86:E88"/>
    <mergeCell ref="J86:J88"/>
    <mergeCell ref="K86:K88"/>
    <mergeCell ref="V20:X20"/>
    <mergeCell ref="E77:E79"/>
    <mergeCell ref="J77:J79"/>
    <mergeCell ref="K77:K79"/>
    <mergeCell ref="E80:E82"/>
    <mergeCell ref="J80:J82"/>
    <mergeCell ref="K80:K8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8"/>
  <sheetViews>
    <sheetView workbookViewId="0">
      <selection activeCell="G13" sqref="G13"/>
    </sheetView>
  </sheetViews>
  <sheetFormatPr baseColWidth="10" defaultRowHeight="15" x14ac:dyDescent="0.25"/>
  <cols>
    <col min="1" max="1" width="11.85546875" bestFit="1" customWidth="1"/>
    <col min="2" max="2" width="11.85546875" customWidth="1"/>
    <col min="3" max="3" width="18.28515625" customWidth="1"/>
    <col min="4" max="4" width="13.85546875" customWidth="1"/>
    <col min="5" max="5" width="15.42578125" customWidth="1"/>
    <col min="6" max="6" width="14.85546875" customWidth="1"/>
    <col min="7" max="7" width="16.140625" customWidth="1"/>
    <col min="8" max="8" width="14" customWidth="1"/>
    <col min="9" max="9" width="12.85546875" customWidth="1"/>
    <col min="12" max="12" width="15.140625" customWidth="1"/>
    <col min="13" max="13" width="17.5703125" customWidth="1"/>
  </cols>
  <sheetData>
    <row r="1" spans="1:19" ht="48" x14ac:dyDescent="0.25">
      <c r="A1" s="3" t="s">
        <v>11</v>
      </c>
      <c r="B1" s="3" t="s">
        <v>90</v>
      </c>
      <c r="C1" s="32" t="s">
        <v>0</v>
      </c>
      <c r="D1" s="32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  <c r="L1" s="32" t="s">
        <v>9</v>
      </c>
      <c r="M1" s="32" t="s">
        <v>61</v>
      </c>
      <c r="N1" s="32" t="s">
        <v>11</v>
      </c>
      <c r="O1" s="32" t="s">
        <v>84</v>
      </c>
      <c r="P1" s="32" t="s">
        <v>85</v>
      </c>
      <c r="Q1" s="32" t="s">
        <v>86</v>
      </c>
      <c r="R1" s="32" t="s">
        <v>39</v>
      </c>
      <c r="S1" s="33" t="s">
        <v>87</v>
      </c>
    </row>
    <row r="2" spans="1:19" x14ac:dyDescent="0.25">
      <c r="A2" s="1">
        <v>1</v>
      </c>
      <c r="B2" s="1" t="s">
        <v>58</v>
      </c>
      <c r="C2" s="34">
        <v>26</v>
      </c>
      <c r="D2" s="34">
        <v>89.1</v>
      </c>
      <c r="E2" s="34">
        <v>40.9</v>
      </c>
      <c r="F2" s="34">
        <v>76.3</v>
      </c>
      <c r="G2" s="35">
        <v>84.5</v>
      </c>
      <c r="H2" s="34">
        <v>18.5</v>
      </c>
      <c r="I2" s="34">
        <v>9.1999999999999993</v>
      </c>
      <c r="J2" s="34">
        <v>29.3</v>
      </c>
      <c r="K2" s="34">
        <v>9.3000000000000007</v>
      </c>
      <c r="L2" s="34">
        <v>66.8</v>
      </c>
      <c r="M2" s="34">
        <v>129.6</v>
      </c>
      <c r="N2" s="36">
        <v>1</v>
      </c>
      <c r="O2" s="34">
        <v>22</v>
      </c>
      <c r="P2" s="34">
        <v>1</v>
      </c>
      <c r="Q2" s="34">
        <v>2</v>
      </c>
      <c r="R2" s="34">
        <v>1</v>
      </c>
      <c r="S2" s="34">
        <v>2</v>
      </c>
    </row>
    <row r="3" spans="1:19" x14ac:dyDescent="0.25">
      <c r="A3" s="1">
        <v>2</v>
      </c>
      <c r="B3" s="1" t="s">
        <v>58</v>
      </c>
      <c r="C3" s="34">
        <v>24.2</v>
      </c>
      <c r="D3" s="34">
        <v>94.9</v>
      </c>
      <c r="E3" s="34">
        <v>46.4</v>
      </c>
      <c r="F3" s="34">
        <v>69.7</v>
      </c>
      <c r="G3" s="35">
        <v>80.7</v>
      </c>
      <c r="H3" s="34">
        <v>19.5</v>
      </c>
      <c r="I3" s="34">
        <v>10.9</v>
      </c>
      <c r="J3" s="34">
        <v>40.799999999999997</v>
      </c>
      <c r="K3" s="34">
        <v>8.5</v>
      </c>
      <c r="L3" s="34">
        <v>50.8</v>
      </c>
      <c r="M3" s="34">
        <v>123.4</v>
      </c>
      <c r="N3" s="36">
        <v>2</v>
      </c>
      <c r="O3" s="34">
        <v>47</v>
      </c>
      <c r="P3" s="34">
        <v>2</v>
      </c>
      <c r="Q3" s="34">
        <v>3</v>
      </c>
      <c r="R3" s="34">
        <v>1</v>
      </c>
      <c r="S3" s="34">
        <v>2</v>
      </c>
    </row>
    <row r="4" spans="1:19" x14ac:dyDescent="0.25">
      <c r="A4" s="1">
        <v>3</v>
      </c>
      <c r="B4" s="1" t="s">
        <v>58</v>
      </c>
      <c r="C4" s="34">
        <v>20.6</v>
      </c>
      <c r="D4" s="34">
        <v>92.8</v>
      </c>
      <c r="E4" s="34">
        <v>43.4</v>
      </c>
      <c r="F4" s="34">
        <v>73.2</v>
      </c>
      <c r="G4" s="34">
        <v>80.900000000000006</v>
      </c>
      <c r="H4" s="34">
        <v>12.5</v>
      </c>
      <c r="I4" s="34">
        <v>3.7</v>
      </c>
      <c r="J4" s="34">
        <v>39.6</v>
      </c>
      <c r="K4" s="34">
        <v>8.8000000000000007</v>
      </c>
      <c r="L4" s="34">
        <v>72.099999999999994</v>
      </c>
      <c r="M4" s="34">
        <v>115.7</v>
      </c>
      <c r="N4" s="36">
        <v>3</v>
      </c>
      <c r="O4" s="34">
        <v>43</v>
      </c>
      <c r="P4" s="34">
        <v>2</v>
      </c>
      <c r="Q4" s="34">
        <v>3</v>
      </c>
      <c r="R4" s="34">
        <v>1</v>
      </c>
      <c r="S4" s="34">
        <v>2</v>
      </c>
    </row>
    <row r="5" spans="1:19" x14ac:dyDescent="0.25">
      <c r="A5" s="1">
        <v>4</v>
      </c>
      <c r="B5" s="1" t="s">
        <v>58</v>
      </c>
      <c r="C5" s="34">
        <v>24.7</v>
      </c>
      <c r="D5" s="34">
        <v>98.1</v>
      </c>
      <c r="E5" s="34">
        <v>40</v>
      </c>
      <c r="F5" s="34">
        <v>67.599999999999994</v>
      </c>
      <c r="G5" s="34">
        <v>84.9</v>
      </c>
      <c r="H5" s="34">
        <v>7.3</v>
      </c>
      <c r="I5" s="34">
        <v>2.8</v>
      </c>
      <c r="J5" s="34">
        <v>36.200000000000003</v>
      </c>
      <c r="K5" s="34">
        <v>4.5</v>
      </c>
      <c r="L5" s="34">
        <v>42.5</v>
      </c>
      <c r="M5" s="34">
        <v>126.3</v>
      </c>
      <c r="N5" s="36">
        <v>4</v>
      </c>
      <c r="O5" s="34">
        <v>45</v>
      </c>
      <c r="P5" s="34">
        <v>1</v>
      </c>
      <c r="Q5" s="34">
        <v>1</v>
      </c>
      <c r="R5" s="34">
        <v>1</v>
      </c>
      <c r="S5" s="34">
        <v>2</v>
      </c>
    </row>
    <row r="6" spans="1:19" x14ac:dyDescent="0.25">
      <c r="A6" s="1">
        <v>5</v>
      </c>
      <c r="B6" s="1" t="s">
        <v>58</v>
      </c>
      <c r="C6" s="34">
        <v>24.7</v>
      </c>
      <c r="D6" s="34">
        <v>93.3</v>
      </c>
      <c r="E6" s="34">
        <v>44.9</v>
      </c>
      <c r="F6" s="34">
        <v>66.8</v>
      </c>
      <c r="G6" s="34">
        <v>85.5</v>
      </c>
      <c r="H6" s="34">
        <v>10.1</v>
      </c>
      <c r="I6" s="34">
        <v>0.8</v>
      </c>
      <c r="J6" s="34">
        <v>36.1</v>
      </c>
      <c r="K6" s="34">
        <v>9.3000000000000007</v>
      </c>
      <c r="L6" s="34">
        <v>67.400000000000006</v>
      </c>
      <c r="M6" s="34">
        <v>123.3</v>
      </c>
      <c r="N6" s="36">
        <v>5</v>
      </c>
      <c r="O6" s="34">
        <v>32</v>
      </c>
      <c r="P6" s="34">
        <v>1</v>
      </c>
      <c r="Q6" s="34">
        <v>2</v>
      </c>
      <c r="R6" s="34">
        <v>1</v>
      </c>
      <c r="S6" s="34">
        <v>2</v>
      </c>
    </row>
    <row r="7" spans="1:19" x14ac:dyDescent="0.25">
      <c r="A7" s="1">
        <v>6</v>
      </c>
      <c r="B7" s="1" t="s">
        <v>58</v>
      </c>
      <c r="C7" s="34">
        <v>24.3</v>
      </c>
      <c r="D7" s="34">
        <v>97</v>
      </c>
      <c r="E7" s="34">
        <v>43.9</v>
      </c>
      <c r="F7" s="34">
        <v>71.5</v>
      </c>
      <c r="G7" s="34">
        <v>80.5</v>
      </c>
      <c r="H7" s="34">
        <v>15.9</v>
      </c>
      <c r="I7" s="34">
        <v>4.9000000000000004</v>
      </c>
      <c r="J7" s="34">
        <v>39.1</v>
      </c>
      <c r="K7" s="34">
        <v>10.9</v>
      </c>
      <c r="L7" s="34">
        <v>52.5</v>
      </c>
      <c r="M7" s="34">
        <v>126.4</v>
      </c>
      <c r="N7" s="36">
        <v>6</v>
      </c>
      <c r="O7" s="34">
        <v>43</v>
      </c>
      <c r="P7" s="34">
        <v>2</v>
      </c>
      <c r="Q7" s="34">
        <v>3</v>
      </c>
      <c r="R7" s="34">
        <v>1</v>
      </c>
      <c r="S7" s="34">
        <v>2</v>
      </c>
    </row>
    <row r="8" spans="1:19" x14ac:dyDescent="0.25">
      <c r="A8" s="1">
        <v>7</v>
      </c>
      <c r="B8" s="1" t="s">
        <v>58</v>
      </c>
      <c r="C8" s="34">
        <v>35.1</v>
      </c>
      <c r="D8" s="34">
        <v>97.2</v>
      </c>
      <c r="E8" s="34">
        <v>42.4</v>
      </c>
      <c r="F8" s="34">
        <v>69.900000000000006</v>
      </c>
      <c r="G8" s="34">
        <v>83.1</v>
      </c>
      <c r="H8" s="34">
        <v>17.3</v>
      </c>
      <c r="I8" s="34">
        <v>0.8</v>
      </c>
      <c r="J8" s="34">
        <v>25.4</v>
      </c>
      <c r="K8" s="34">
        <v>16.600000000000001</v>
      </c>
      <c r="L8" s="34">
        <v>43.6</v>
      </c>
      <c r="M8" s="34">
        <v>136.30000000000001</v>
      </c>
      <c r="N8" s="36">
        <v>7</v>
      </c>
      <c r="O8" s="34">
        <v>21</v>
      </c>
      <c r="P8" s="34">
        <v>1</v>
      </c>
      <c r="Q8" s="34">
        <v>2</v>
      </c>
      <c r="R8" s="34">
        <v>1</v>
      </c>
      <c r="S8" s="34">
        <v>2</v>
      </c>
    </row>
    <row r="9" spans="1:19" x14ac:dyDescent="0.25">
      <c r="A9" s="1">
        <v>8</v>
      </c>
      <c r="B9" s="1" t="s">
        <v>58</v>
      </c>
      <c r="C9" s="34">
        <v>24.3</v>
      </c>
      <c r="D9" s="34">
        <v>89.5</v>
      </c>
      <c r="E9" s="34">
        <v>44</v>
      </c>
      <c r="F9" s="34">
        <v>74.5</v>
      </c>
      <c r="G9" s="34">
        <v>79.599999999999994</v>
      </c>
      <c r="H9" s="34">
        <v>11.1</v>
      </c>
      <c r="I9" s="34">
        <v>9.5</v>
      </c>
      <c r="J9" s="34">
        <v>41.7</v>
      </c>
      <c r="K9" s="34">
        <v>1.6</v>
      </c>
      <c r="L9" s="34">
        <v>57.9</v>
      </c>
      <c r="M9" s="34">
        <v>122.6</v>
      </c>
      <c r="N9" s="36">
        <v>8</v>
      </c>
      <c r="O9" s="34">
        <v>20</v>
      </c>
      <c r="P9" s="34">
        <v>2</v>
      </c>
      <c r="Q9" s="34">
        <v>1</v>
      </c>
      <c r="R9" s="34">
        <v>1</v>
      </c>
      <c r="S9" s="34">
        <v>2</v>
      </c>
    </row>
    <row r="10" spans="1:19" x14ac:dyDescent="0.25">
      <c r="A10" s="1">
        <v>9</v>
      </c>
      <c r="B10" s="1" t="s">
        <v>58</v>
      </c>
      <c r="C10" s="34">
        <v>37</v>
      </c>
      <c r="D10" s="34">
        <v>88.5</v>
      </c>
      <c r="E10" s="34">
        <v>47.3</v>
      </c>
      <c r="F10" s="34">
        <v>73.400000000000006</v>
      </c>
      <c r="G10" s="34">
        <v>80.2</v>
      </c>
      <c r="H10" s="34">
        <v>19.8</v>
      </c>
      <c r="I10" s="34">
        <v>6</v>
      </c>
      <c r="J10" s="34">
        <v>24.5</v>
      </c>
      <c r="K10" s="34">
        <v>13.7</v>
      </c>
      <c r="L10" s="35">
        <v>65</v>
      </c>
      <c r="M10" s="34">
        <v>131.80000000000001</v>
      </c>
      <c r="N10" s="36">
        <v>9</v>
      </c>
      <c r="O10" s="34">
        <v>29</v>
      </c>
      <c r="P10" s="34">
        <v>2</v>
      </c>
      <c r="Q10" s="34">
        <v>2</v>
      </c>
      <c r="R10" s="34">
        <v>1</v>
      </c>
      <c r="S10" s="34">
        <v>2</v>
      </c>
    </row>
    <row r="11" spans="1:19" x14ac:dyDescent="0.25">
      <c r="A11" s="1">
        <v>10</v>
      </c>
      <c r="B11" s="1" t="s">
        <v>58</v>
      </c>
      <c r="C11" s="34">
        <v>22.9</v>
      </c>
      <c r="D11" s="34">
        <v>99</v>
      </c>
      <c r="E11" s="34">
        <v>38.700000000000003</v>
      </c>
      <c r="F11" s="34">
        <v>70</v>
      </c>
      <c r="G11" s="34">
        <v>85.6</v>
      </c>
      <c r="H11" s="34">
        <v>12.2</v>
      </c>
      <c r="I11" s="34">
        <v>2.9</v>
      </c>
      <c r="J11" s="34">
        <v>39.200000000000003</v>
      </c>
      <c r="K11" s="34">
        <v>9.3000000000000007</v>
      </c>
      <c r="L11" s="34">
        <v>64.599999999999994</v>
      </c>
      <c r="M11" s="34">
        <v>119.8</v>
      </c>
      <c r="N11" s="36">
        <v>10</v>
      </c>
      <c r="O11" s="34">
        <v>26</v>
      </c>
      <c r="P11" s="34">
        <v>1</v>
      </c>
      <c r="Q11" s="34">
        <v>3</v>
      </c>
      <c r="R11" s="34">
        <v>1</v>
      </c>
      <c r="S11" s="34">
        <v>2</v>
      </c>
    </row>
    <row r="12" spans="1:19" x14ac:dyDescent="0.25">
      <c r="A12" s="1">
        <v>11</v>
      </c>
      <c r="B12" s="1" t="s">
        <v>58</v>
      </c>
      <c r="C12" s="34">
        <v>23.7</v>
      </c>
      <c r="D12" s="34">
        <v>91.3</v>
      </c>
      <c r="E12" s="34">
        <v>40.200000000000003</v>
      </c>
      <c r="F12" s="34">
        <v>69.099999999999994</v>
      </c>
      <c r="G12" s="34">
        <v>85.5</v>
      </c>
      <c r="H12" s="34">
        <v>16.5</v>
      </c>
      <c r="I12" s="34">
        <v>11.8</v>
      </c>
      <c r="J12" s="34">
        <v>36.200000000000003</v>
      </c>
      <c r="K12" s="34">
        <v>4.5999999999999996</v>
      </c>
      <c r="L12" s="34">
        <v>76.099999999999994</v>
      </c>
      <c r="M12" s="34">
        <v>120.2</v>
      </c>
      <c r="N12" s="36">
        <v>11</v>
      </c>
      <c r="O12" s="34">
        <v>32</v>
      </c>
      <c r="P12" s="34">
        <v>2</v>
      </c>
      <c r="Q12" s="34">
        <v>2</v>
      </c>
      <c r="R12" s="34">
        <v>1</v>
      </c>
      <c r="S12" s="34">
        <v>2</v>
      </c>
    </row>
    <row r="13" spans="1:19" x14ac:dyDescent="0.25">
      <c r="A13" s="1">
        <v>12</v>
      </c>
      <c r="B13" s="1" t="s">
        <v>58</v>
      </c>
      <c r="C13" s="34">
        <v>24.9</v>
      </c>
      <c r="D13" s="34">
        <v>86.9</v>
      </c>
      <c r="E13" s="34">
        <v>42.1</v>
      </c>
      <c r="F13" s="34">
        <v>69</v>
      </c>
      <c r="G13" s="34">
        <v>79.900000000000006</v>
      </c>
      <c r="H13" s="34">
        <v>19.899999999999999</v>
      </c>
      <c r="I13" s="34">
        <v>6.1</v>
      </c>
      <c r="J13" s="34">
        <v>24.7</v>
      </c>
      <c r="K13" s="34">
        <v>13.8</v>
      </c>
      <c r="L13" s="34">
        <v>78.5</v>
      </c>
      <c r="M13" s="34">
        <v>129.69999999999999</v>
      </c>
      <c r="N13" s="36">
        <v>12</v>
      </c>
      <c r="O13" s="34">
        <v>41</v>
      </c>
      <c r="P13" s="34">
        <v>1</v>
      </c>
      <c r="Q13" s="34">
        <v>2</v>
      </c>
      <c r="R13" s="34">
        <v>1</v>
      </c>
      <c r="S13" s="34">
        <v>2</v>
      </c>
    </row>
    <row r="14" spans="1:19" x14ac:dyDescent="0.25">
      <c r="A14" s="1">
        <v>13</v>
      </c>
      <c r="B14" s="1" t="s">
        <v>58</v>
      </c>
      <c r="C14" s="34">
        <v>23.5</v>
      </c>
      <c r="D14" s="34">
        <v>94.9</v>
      </c>
      <c r="E14" s="34">
        <v>47.9</v>
      </c>
      <c r="F14" s="34">
        <v>57.1</v>
      </c>
      <c r="G14" s="34">
        <v>84.1</v>
      </c>
      <c r="H14" s="34">
        <v>11.5</v>
      </c>
      <c r="I14" s="34">
        <v>16.5</v>
      </c>
      <c r="J14" s="34">
        <v>40.9</v>
      </c>
      <c r="K14" s="34">
        <v>-5</v>
      </c>
      <c r="L14" s="34">
        <v>80.3</v>
      </c>
      <c r="M14" s="34">
        <v>122.6</v>
      </c>
      <c r="N14" s="36">
        <v>13</v>
      </c>
      <c r="O14" s="34">
        <v>27</v>
      </c>
      <c r="P14" s="34">
        <v>1</v>
      </c>
      <c r="Q14" s="34">
        <v>2</v>
      </c>
      <c r="R14" s="34">
        <v>1</v>
      </c>
      <c r="S14" s="34">
        <v>2</v>
      </c>
    </row>
    <row r="15" spans="1:19" x14ac:dyDescent="0.25">
      <c r="A15" s="1">
        <v>14</v>
      </c>
      <c r="B15" s="1" t="s">
        <v>58</v>
      </c>
      <c r="C15" s="34">
        <v>24</v>
      </c>
      <c r="D15" s="34">
        <v>88.7</v>
      </c>
      <c r="E15" s="34">
        <v>44.5</v>
      </c>
      <c r="F15" s="34">
        <v>75.599999999999994</v>
      </c>
      <c r="G15" s="34">
        <v>80.099999999999994</v>
      </c>
      <c r="H15" s="34">
        <v>22.6</v>
      </c>
      <c r="I15" s="34">
        <v>13.1</v>
      </c>
      <c r="J15" s="34">
        <v>39</v>
      </c>
      <c r="K15" s="34">
        <v>9.5</v>
      </c>
      <c r="L15" s="34">
        <v>74.8</v>
      </c>
      <c r="M15" s="34">
        <v>117.4</v>
      </c>
      <c r="N15" s="36">
        <v>14</v>
      </c>
      <c r="O15" s="34">
        <v>30</v>
      </c>
      <c r="P15" s="34">
        <v>1</v>
      </c>
      <c r="Q15" s="34">
        <v>3</v>
      </c>
      <c r="R15" s="34">
        <v>1</v>
      </c>
      <c r="S15" s="34">
        <v>2</v>
      </c>
    </row>
    <row r="16" spans="1:19" x14ac:dyDescent="0.25">
      <c r="A16" s="1">
        <v>15</v>
      </c>
      <c r="B16" s="1" t="s">
        <v>58</v>
      </c>
      <c r="C16" s="34">
        <v>23.3</v>
      </c>
      <c r="D16" s="34">
        <v>94.7</v>
      </c>
      <c r="E16" s="34">
        <v>45.7</v>
      </c>
      <c r="F16" s="34">
        <v>73.099999999999994</v>
      </c>
      <c r="G16" s="34">
        <v>85.3</v>
      </c>
      <c r="H16" s="34">
        <v>15.7</v>
      </c>
      <c r="I16" s="34">
        <v>8.4</v>
      </c>
      <c r="J16" s="34">
        <v>33.5</v>
      </c>
      <c r="K16" s="34">
        <v>7.3</v>
      </c>
      <c r="L16" s="34">
        <v>74.3</v>
      </c>
      <c r="M16" s="34">
        <v>124</v>
      </c>
      <c r="N16" s="36">
        <v>15</v>
      </c>
      <c r="O16" s="34">
        <v>20</v>
      </c>
      <c r="P16" s="34">
        <v>2</v>
      </c>
      <c r="Q16" s="34">
        <v>3</v>
      </c>
      <c r="R16" s="34">
        <v>1</v>
      </c>
      <c r="S16" s="34">
        <v>2</v>
      </c>
    </row>
    <row r="17" spans="1:19" x14ac:dyDescent="0.25">
      <c r="A17" s="1">
        <v>16</v>
      </c>
      <c r="B17" s="1" t="s">
        <v>58</v>
      </c>
      <c r="C17" s="34">
        <v>23.8</v>
      </c>
      <c r="D17" s="34">
        <v>89.3</v>
      </c>
      <c r="E17" s="34">
        <v>43.6</v>
      </c>
      <c r="F17" s="34">
        <v>81.3</v>
      </c>
      <c r="G17" s="34">
        <v>80.3</v>
      </c>
      <c r="H17" s="34">
        <v>19.2</v>
      </c>
      <c r="I17" s="34">
        <v>5.0999999999999996</v>
      </c>
      <c r="J17" s="34">
        <v>38.799999999999997</v>
      </c>
      <c r="K17" s="34">
        <v>14.1</v>
      </c>
      <c r="L17" s="34">
        <v>74.2</v>
      </c>
      <c r="M17" s="34">
        <v>119.4</v>
      </c>
      <c r="N17" s="36">
        <v>16</v>
      </c>
      <c r="O17" s="34">
        <v>37</v>
      </c>
      <c r="P17" s="34">
        <v>2</v>
      </c>
      <c r="Q17" s="34">
        <v>1</v>
      </c>
      <c r="R17" s="34">
        <v>1</v>
      </c>
      <c r="S17" s="34">
        <v>2</v>
      </c>
    </row>
    <row r="18" spans="1:19" x14ac:dyDescent="0.25">
      <c r="A18" s="1">
        <v>17</v>
      </c>
      <c r="B18" s="1" t="s">
        <v>58</v>
      </c>
      <c r="C18" s="34" t="s">
        <v>88</v>
      </c>
      <c r="D18" s="34">
        <v>81</v>
      </c>
      <c r="E18" s="34">
        <v>46</v>
      </c>
      <c r="F18" s="34">
        <v>66.7</v>
      </c>
      <c r="G18" s="34">
        <v>83.2</v>
      </c>
      <c r="H18" s="34">
        <v>9.9</v>
      </c>
      <c r="I18" s="34">
        <v>2.9</v>
      </c>
      <c r="J18" s="34">
        <v>33.9</v>
      </c>
      <c r="K18" s="34">
        <v>7</v>
      </c>
      <c r="L18" s="34">
        <v>81.7</v>
      </c>
      <c r="M18" s="34">
        <v>121.6</v>
      </c>
      <c r="N18" s="36">
        <v>17</v>
      </c>
      <c r="O18" s="34">
        <v>36</v>
      </c>
      <c r="P18" s="34">
        <v>1</v>
      </c>
      <c r="Q18" s="34">
        <v>1</v>
      </c>
      <c r="R18" s="34">
        <v>1</v>
      </c>
      <c r="S18" s="34">
        <v>2</v>
      </c>
    </row>
    <row r="19" spans="1:19" x14ac:dyDescent="0.25">
      <c r="A19" s="1">
        <v>18</v>
      </c>
      <c r="B19" s="1" t="s">
        <v>58</v>
      </c>
      <c r="C19" s="34">
        <v>36.700000000000003</v>
      </c>
      <c r="D19" s="34">
        <v>93.5</v>
      </c>
      <c r="E19" s="34">
        <v>47.6</v>
      </c>
      <c r="F19" s="34">
        <v>66.099999999999994</v>
      </c>
      <c r="G19" s="34">
        <v>84.7</v>
      </c>
      <c r="H19" s="34">
        <v>15.8</v>
      </c>
      <c r="I19" s="34">
        <v>7.1</v>
      </c>
      <c r="J19" s="34">
        <v>34.6</v>
      </c>
      <c r="K19" s="34">
        <v>8.8000000000000007</v>
      </c>
      <c r="L19" s="34">
        <v>78.7</v>
      </c>
      <c r="M19" s="34">
        <v>128.80000000000001</v>
      </c>
      <c r="N19" s="36">
        <v>18</v>
      </c>
      <c r="O19" s="34">
        <v>25</v>
      </c>
      <c r="P19" s="34">
        <v>1</v>
      </c>
      <c r="Q19" s="34">
        <v>1</v>
      </c>
      <c r="R19" s="34">
        <v>2</v>
      </c>
      <c r="S19" s="34">
        <v>2</v>
      </c>
    </row>
    <row r="20" spans="1:19" x14ac:dyDescent="0.25">
      <c r="A20" s="1">
        <v>19</v>
      </c>
      <c r="B20" s="1" t="s">
        <v>58</v>
      </c>
      <c r="C20" s="34">
        <v>24.4</v>
      </c>
      <c r="D20" s="34">
        <v>96</v>
      </c>
      <c r="E20" s="34">
        <v>47.3</v>
      </c>
      <c r="F20" s="34">
        <v>67.400000000000006</v>
      </c>
      <c r="G20" s="34">
        <v>82</v>
      </c>
      <c r="H20" s="34">
        <v>23.6</v>
      </c>
      <c r="I20" s="34">
        <v>23.2</v>
      </c>
      <c r="J20" s="34">
        <v>28.5</v>
      </c>
      <c r="K20" s="34">
        <v>0.4</v>
      </c>
      <c r="L20" s="34">
        <v>60</v>
      </c>
      <c r="M20" s="34">
        <v>132.69999999999999</v>
      </c>
      <c r="N20" s="36">
        <v>19</v>
      </c>
      <c r="O20" s="34">
        <v>32</v>
      </c>
      <c r="P20" s="34">
        <v>1</v>
      </c>
      <c r="Q20" s="34">
        <v>1</v>
      </c>
      <c r="R20" s="34">
        <v>1</v>
      </c>
      <c r="S20" s="34">
        <v>2</v>
      </c>
    </row>
    <row r="21" spans="1:19" x14ac:dyDescent="0.25">
      <c r="A21" s="1">
        <v>20</v>
      </c>
      <c r="B21" s="1" t="s">
        <v>58</v>
      </c>
      <c r="C21" s="34">
        <v>19.600000000000001</v>
      </c>
      <c r="D21" s="34">
        <v>94.8</v>
      </c>
      <c r="E21" s="34">
        <v>49.5</v>
      </c>
      <c r="F21" s="34">
        <v>70.5</v>
      </c>
      <c r="G21" s="34">
        <v>84.6</v>
      </c>
      <c r="H21" s="34">
        <v>12.7</v>
      </c>
      <c r="I21" s="34">
        <v>1</v>
      </c>
      <c r="J21" s="34">
        <v>41.5</v>
      </c>
      <c r="K21" s="34">
        <v>11.7</v>
      </c>
      <c r="L21" s="34">
        <v>64</v>
      </c>
      <c r="M21" s="34">
        <v>116</v>
      </c>
      <c r="N21" s="36">
        <v>20</v>
      </c>
      <c r="O21" s="34">
        <v>41</v>
      </c>
      <c r="P21" s="34">
        <v>1</v>
      </c>
      <c r="Q21" s="34">
        <v>1</v>
      </c>
      <c r="R21" s="34">
        <v>1</v>
      </c>
      <c r="S21" s="34">
        <v>2</v>
      </c>
    </row>
    <row r="22" spans="1:19" x14ac:dyDescent="0.25">
      <c r="A22" s="1">
        <v>21</v>
      </c>
      <c r="B22" s="1" t="s">
        <v>58</v>
      </c>
      <c r="C22" s="34">
        <v>36</v>
      </c>
      <c r="D22" s="34">
        <v>88</v>
      </c>
      <c r="E22" s="34">
        <v>44.2</v>
      </c>
      <c r="F22" s="34">
        <v>68.5</v>
      </c>
      <c r="G22" s="34">
        <v>84.7</v>
      </c>
      <c r="H22" s="34">
        <v>14.5</v>
      </c>
      <c r="I22" s="34">
        <v>9.3000000000000007</v>
      </c>
      <c r="J22" s="34">
        <v>23.1</v>
      </c>
      <c r="K22" s="34">
        <v>5.2</v>
      </c>
      <c r="L22" s="34">
        <v>66.7</v>
      </c>
      <c r="M22" s="34">
        <v>138.6</v>
      </c>
      <c r="N22" s="36">
        <v>21</v>
      </c>
      <c r="O22" s="34">
        <v>26</v>
      </c>
      <c r="P22" s="34">
        <v>1</v>
      </c>
      <c r="Q22" s="34">
        <v>1</v>
      </c>
      <c r="R22" s="34">
        <v>1</v>
      </c>
      <c r="S22" s="34">
        <v>2</v>
      </c>
    </row>
    <row r="23" spans="1:19" x14ac:dyDescent="0.25">
      <c r="A23" s="1">
        <v>22</v>
      </c>
      <c r="B23" s="1" t="s">
        <v>58</v>
      </c>
      <c r="C23" s="34">
        <v>24</v>
      </c>
      <c r="D23" s="34">
        <v>92.3</v>
      </c>
      <c r="E23" s="34">
        <v>43.3</v>
      </c>
      <c r="F23" s="34">
        <v>62.9</v>
      </c>
      <c r="G23" s="34">
        <v>85.4</v>
      </c>
      <c r="H23" s="34">
        <v>11.2</v>
      </c>
      <c r="I23" s="34">
        <v>5.5</v>
      </c>
      <c r="J23" s="34">
        <v>38</v>
      </c>
      <c r="K23" s="34">
        <v>5.7</v>
      </c>
      <c r="L23" s="34">
        <v>62.8</v>
      </c>
      <c r="M23" s="34">
        <v>117.6</v>
      </c>
      <c r="N23" s="36">
        <v>22</v>
      </c>
      <c r="O23" s="34">
        <v>23</v>
      </c>
      <c r="P23" s="34">
        <v>1</v>
      </c>
      <c r="Q23" s="34">
        <v>2</v>
      </c>
      <c r="R23" s="34">
        <v>1</v>
      </c>
      <c r="S23" s="34">
        <v>2</v>
      </c>
    </row>
    <row r="24" spans="1:19" x14ac:dyDescent="0.25">
      <c r="A24" s="1">
        <v>23</v>
      </c>
      <c r="B24" s="1" t="s">
        <v>58</v>
      </c>
      <c r="C24" s="34">
        <v>24.3</v>
      </c>
      <c r="D24" s="34">
        <v>91.1</v>
      </c>
      <c r="E24" s="34">
        <v>47.5</v>
      </c>
      <c r="F24" s="34">
        <v>69.5</v>
      </c>
      <c r="G24" s="34">
        <v>79.7</v>
      </c>
      <c r="H24" s="34">
        <v>15.3</v>
      </c>
      <c r="I24" s="34">
        <v>11.3</v>
      </c>
      <c r="J24" s="34">
        <v>35.6</v>
      </c>
      <c r="K24" s="34">
        <v>4</v>
      </c>
      <c r="L24" s="34">
        <v>67.7</v>
      </c>
      <c r="M24" s="34">
        <v>124.1</v>
      </c>
      <c r="N24" s="36">
        <v>23</v>
      </c>
      <c r="O24" s="34">
        <v>43</v>
      </c>
      <c r="P24" s="34">
        <v>1</v>
      </c>
      <c r="Q24" s="34">
        <v>3</v>
      </c>
      <c r="R24" s="34">
        <v>1</v>
      </c>
      <c r="S24" s="34">
        <v>2</v>
      </c>
    </row>
    <row r="25" spans="1:19" x14ac:dyDescent="0.25">
      <c r="A25" s="1">
        <v>24</v>
      </c>
      <c r="B25" s="1" t="s">
        <v>58</v>
      </c>
      <c r="C25" s="34">
        <v>19.100000000000001</v>
      </c>
      <c r="D25" s="34">
        <v>96.4</v>
      </c>
      <c r="E25" s="34">
        <v>38.200000000000003</v>
      </c>
      <c r="F25" s="34">
        <v>79.5</v>
      </c>
      <c r="G25" s="34">
        <v>83.6</v>
      </c>
      <c r="H25" s="34">
        <v>8.5</v>
      </c>
      <c r="I25" s="34">
        <v>0.3</v>
      </c>
      <c r="J25" s="34">
        <v>43.7</v>
      </c>
      <c r="K25" s="34">
        <v>8.3000000000000007</v>
      </c>
      <c r="L25" s="34">
        <v>58.8</v>
      </c>
      <c r="M25" s="34">
        <v>114.7</v>
      </c>
      <c r="N25" s="36">
        <v>24</v>
      </c>
      <c r="O25" s="34">
        <v>38</v>
      </c>
      <c r="P25" s="34">
        <v>1</v>
      </c>
      <c r="Q25" s="34">
        <v>2</v>
      </c>
      <c r="R25" s="34">
        <v>1</v>
      </c>
      <c r="S25" s="34">
        <v>2</v>
      </c>
    </row>
    <row r="26" spans="1:19" x14ac:dyDescent="0.25">
      <c r="A26" s="1">
        <v>25</v>
      </c>
      <c r="B26" s="1" t="s">
        <v>58</v>
      </c>
      <c r="C26" s="34">
        <v>23.1</v>
      </c>
      <c r="D26" s="34">
        <v>92.9</v>
      </c>
      <c r="E26" s="34">
        <v>45</v>
      </c>
      <c r="F26" s="34">
        <v>74.2</v>
      </c>
      <c r="G26" s="34">
        <v>85.2</v>
      </c>
      <c r="H26" s="34">
        <v>14.7</v>
      </c>
      <c r="I26" s="34">
        <v>3.1</v>
      </c>
      <c r="J26" s="34">
        <v>32.9</v>
      </c>
      <c r="K26" s="34">
        <v>11.5</v>
      </c>
      <c r="L26" s="34">
        <v>68.099999999999994</v>
      </c>
      <c r="M26" s="34">
        <v>119.5</v>
      </c>
      <c r="N26" s="36">
        <v>25</v>
      </c>
      <c r="O26" s="34">
        <v>36</v>
      </c>
      <c r="P26" s="34">
        <v>1</v>
      </c>
      <c r="Q26" s="34">
        <v>3</v>
      </c>
      <c r="R26" s="34">
        <v>1</v>
      </c>
      <c r="S26" s="34">
        <v>2</v>
      </c>
    </row>
    <row r="27" spans="1:19" x14ac:dyDescent="0.25">
      <c r="A27" s="1">
        <v>26</v>
      </c>
      <c r="B27" s="1" t="s">
        <v>58</v>
      </c>
      <c r="C27" s="34">
        <v>22.7</v>
      </c>
      <c r="D27" s="34" t="s">
        <v>89</v>
      </c>
      <c r="E27" s="34">
        <v>40.9</v>
      </c>
      <c r="F27" s="34">
        <v>65.3</v>
      </c>
      <c r="G27" s="34">
        <v>84.2</v>
      </c>
      <c r="H27" s="34">
        <v>8.6999999999999993</v>
      </c>
      <c r="I27" s="34">
        <v>1</v>
      </c>
      <c r="J27" s="34">
        <v>36.5</v>
      </c>
      <c r="K27" s="34">
        <v>7.6</v>
      </c>
      <c r="L27" s="34">
        <v>64</v>
      </c>
      <c r="M27" s="34">
        <v>120.2</v>
      </c>
      <c r="N27" s="36">
        <v>26</v>
      </c>
      <c r="O27" s="34">
        <v>18</v>
      </c>
      <c r="P27" s="34">
        <v>1</v>
      </c>
      <c r="Q27" s="34">
        <v>2</v>
      </c>
      <c r="R27" s="34">
        <v>1</v>
      </c>
      <c r="S27" s="34">
        <v>2</v>
      </c>
    </row>
    <row r="28" spans="1:19" x14ac:dyDescent="0.25">
      <c r="A28" s="1">
        <v>27</v>
      </c>
      <c r="B28" s="1" t="s">
        <v>58</v>
      </c>
      <c r="C28" s="34">
        <v>19.600000000000001</v>
      </c>
      <c r="D28" s="34">
        <v>93.9</v>
      </c>
      <c r="E28" s="34">
        <v>44.2</v>
      </c>
      <c r="F28" s="34">
        <v>70.099999999999994</v>
      </c>
      <c r="G28" s="34">
        <v>85.5</v>
      </c>
      <c r="H28" s="34">
        <v>13.1</v>
      </c>
      <c r="I28" s="34">
        <v>5</v>
      </c>
      <c r="J28" s="34">
        <v>36.5</v>
      </c>
      <c r="K28" s="34">
        <v>8.1</v>
      </c>
      <c r="L28" s="34">
        <v>63.5</v>
      </c>
      <c r="M28" s="34">
        <v>120.2</v>
      </c>
      <c r="N28" s="36">
        <v>27</v>
      </c>
      <c r="O28" s="34">
        <v>18</v>
      </c>
      <c r="P28" s="34">
        <v>2</v>
      </c>
      <c r="Q28" s="34">
        <v>3</v>
      </c>
      <c r="R28" s="34">
        <v>1</v>
      </c>
      <c r="S28" s="37">
        <v>2</v>
      </c>
    </row>
    <row r="29" spans="1:19" x14ac:dyDescent="0.25">
      <c r="A29" s="1">
        <v>28</v>
      </c>
      <c r="B29" s="1" t="s">
        <v>58</v>
      </c>
      <c r="C29" s="34">
        <v>35.799999999999997</v>
      </c>
      <c r="D29" s="34">
        <v>89.2</v>
      </c>
      <c r="E29" s="34">
        <v>48.4</v>
      </c>
      <c r="F29" s="34">
        <v>70.8</v>
      </c>
      <c r="G29" s="34">
        <v>85.1</v>
      </c>
      <c r="H29" s="34">
        <v>6.2</v>
      </c>
      <c r="I29" s="34">
        <v>-6.8</v>
      </c>
      <c r="J29" s="34">
        <v>31</v>
      </c>
      <c r="K29" s="34">
        <v>13</v>
      </c>
      <c r="L29" s="34">
        <v>57.8</v>
      </c>
      <c r="M29" s="34">
        <v>128.4</v>
      </c>
      <c r="N29" s="36">
        <v>28</v>
      </c>
      <c r="O29" s="34">
        <v>19</v>
      </c>
      <c r="P29" s="34">
        <v>1</v>
      </c>
      <c r="Q29" s="34">
        <v>2</v>
      </c>
      <c r="R29" s="34">
        <v>2</v>
      </c>
      <c r="S29" s="37">
        <v>2</v>
      </c>
    </row>
    <row r="30" spans="1:19" x14ac:dyDescent="0.25">
      <c r="A30" s="1">
        <v>29</v>
      </c>
      <c r="B30" s="1" t="s">
        <v>58</v>
      </c>
      <c r="C30" s="38">
        <v>35.5</v>
      </c>
      <c r="D30" s="38">
        <v>80.099999999999994</v>
      </c>
      <c r="E30" s="38">
        <v>49.4</v>
      </c>
      <c r="F30" s="38">
        <v>65.8</v>
      </c>
      <c r="G30" s="38">
        <v>80.599999999999994</v>
      </c>
      <c r="H30" s="38">
        <v>13.8</v>
      </c>
      <c r="I30" s="38">
        <v>3.9</v>
      </c>
      <c r="J30" s="38">
        <v>38.9</v>
      </c>
      <c r="K30" s="38">
        <v>9.9</v>
      </c>
      <c r="L30" s="38">
        <v>65.2</v>
      </c>
      <c r="M30" s="38">
        <v>128.9</v>
      </c>
      <c r="N30" s="39">
        <v>29</v>
      </c>
      <c r="O30" s="38">
        <v>34</v>
      </c>
      <c r="P30" s="38">
        <v>2</v>
      </c>
      <c r="Q30" s="38">
        <v>3</v>
      </c>
      <c r="R30" s="38">
        <v>1</v>
      </c>
      <c r="S30" s="40">
        <v>2</v>
      </c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topLeftCell="A10" zoomScaleNormal="100" workbookViewId="0">
      <selection activeCell="O25" sqref="O25"/>
    </sheetView>
  </sheetViews>
  <sheetFormatPr baseColWidth="10" defaultRowHeight="15" x14ac:dyDescent="0.25"/>
  <cols>
    <col min="8" max="8" width="11.7109375" bestFit="1" customWidth="1"/>
  </cols>
  <sheetData>
    <row r="1" spans="1:13" ht="63.75" x14ac:dyDescent="0.25">
      <c r="A1" s="3" t="s">
        <v>11</v>
      </c>
      <c r="B1" s="3" t="s">
        <v>90</v>
      </c>
      <c r="C1" s="2" t="s">
        <v>0</v>
      </c>
      <c r="D1" s="2" t="s">
        <v>1</v>
      </c>
      <c r="E1" s="2" t="s">
        <v>2</v>
      </c>
      <c r="F1" s="2" t="s">
        <v>3</v>
      </c>
      <c r="G1" s="195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 x14ac:dyDescent="0.25">
      <c r="A2" s="1">
        <v>1</v>
      </c>
      <c r="B2" s="1" t="s">
        <v>91</v>
      </c>
      <c r="C2" s="1">
        <v>19</v>
      </c>
      <c r="D2" s="1">
        <v>93.6</v>
      </c>
      <c r="E2" s="1">
        <v>40</v>
      </c>
      <c r="F2" s="1" t="s">
        <v>18</v>
      </c>
      <c r="G2" s="159">
        <v>103</v>
      </c>
      <c r="H2" s="1">
        <v>7.8</v>
      </c>
      <c r="I2" s="1">
        <v>4</v>
      </c>
      <c r="J2" s="1">
        <v>47.3</v>
      </c>
      <c r="K2" s="1">
        <v>3.8</v>
      </c>
      <c r="L2" s="159">
        <v>109.2</v>
      </c>
      <c r="M2" s="1" t="s">
        <v>19</v>
      </c>
    </row>
    <row r="3" spans="1:13" x14ac:dyDescent="0.25">
      <c r="A3" s="1">
        <v>2</v>
      </c>
      <c r="B3" s="1" t="s">
        <v>91</v>
      </c>
      <c r="C3" s="1">
        <v>20.3</v>
      </c>
      <c r="D3" s="1">
        <v>90.2</v>
      </c>
      <c r="E3" s="1">
        <v>43.3</v>
      </c>
      <c r="F3" s="1">
        <v>84.6</v>
      </c>
      <c r="G3" s="159">
        <v>98</v>
      </c>
      <c r="H3" s="1">
        <v>8.6999999999999993</v>
      </c>
      <c r="I3" s="1">
        <v>3.3</v>
      </c>
      <c r="J3" s="1">
        <v>46.8</v>
      </c>
      <c r="K3" s="1">
        <v>5.4</v>
      </c>
      <c r="L3" s="159">
        <v>106.3</v>
      </c>
      <c r="M3" s="1">
        <v>118.4</v>
      </c>
    </row>
    <row r="4" spans="1:13" x14ac:dyDescent="0.25">
      <c r="A4" s="1">
        <v>3</v>
      </c>
      <c r="B4" s="1" t="s">
        <v>91</v>
      </c>
      <c r="C4" s="1">
        <v>18.5</v>
      </c>
      <c r="D4" s="1">
        <v>95.6</v>
      </c>
      <c r="E4" s="1">
        <v>42.9</v>
      </c>
      <c r="F4" s="1">
        <v>84.3</v>
      </c>
      <c r="G4" s="159">
        <v>109.1</v>
      </c>
      <c r="H4" s="1">
        <v>9.8000000000000007</v>
      </c>
      <c r="I4" s="1">
        <v>4.5999999999999996</v>
      </c>
      <c r="J4" s="1">
        <v>49.5</v>
      </c>
      <c r="K4" s="1">
        <v>5.2</v>
      </c>
      <c r="L4" s="159">
        <v>112.3</v>
      </c>
      <c r="M4" s="1">
        <v>116.5</v>
      </c>
    </row>
    <row r="5" spans="1:13" x14ac:dyDescent="0.25">
      <c r="A5" s="1">
        <v>4</v>
      </c>
      <c r="B5" s="1" t="s">
        <v>91</v>
      </c>
      <c r="C5" s="1">
        <v>19.7</v>
      </c>
      <c r="D5" s="1">
        <v>92.6</v>
      </c>
      <c r="E5" s="1">
        <v>41.1</v>
      </c>
      <c r="F5" s="1">
        <v>83.4</v>
      </c>
      <c r="G5" s="159">
        <v>99.7</v>
      </c>
      <c r="H5" s="1">
        <v>9.4</v>
      </c>
      <c r="I5" s="1" t="s">
        <v>12</v>
      </c>
      <c r="J5" s="1">
        <v>48.3</v>
      </c>
      <c r="K5" s="1">
        <v>6.3</v>
      </c>
      <c r="L5" s="159">
        <v>102.6</v>
      </c>
      <c r="M5" s="1">
        <v>117.2</v>
      </c>
    </row>
    <row r="6" spans="1:13" x14ac:dyDescent="0.25">
      <c r="A6" s="1">
        <v>5</v>
      </c>
      <c r="B6" s="1" t="s">
        <v>91</v>
      </c>
      <c r="C6" s="1">
        <v>18.399999999999999</v>
      </c>
      <c r="D6" s="1">
        <v>93.4</v>
      </c>
      <c r="E6" s="1">
        <v>42.8</v>
      </c>
      <c r="F6" s="1">
        <v>81.8</v>
      </c>
      <c r="G6" s="159">
        <v>102.3</v>
      </c>
      <c r="H6" s="1">
        <v>9.6999999999999993</v>
      </c>
      <c r="I6" s="1">
        <v>2.9</v>
      </c>
      <c r="J6" s="1">
        <v>45.7</v>
      </c>
      <c r="K6" s="1">
        <v>6.8</v>
      </c>
      <c r="L6" s="159">
        <v>107.4</v>
      </c>
      <c r="M6" s="1">
        <v>117.4</v>
      </c>
    </row>
    <row r="7" spans="1:13" x14ac:dyDescent="0.25">
      <c r="A7" s="1">
        <v>6</v>
      </c>
      <c r="B7" s="1" t="s">
        <v>91</v>
      </c>
      <c r="C7" s="1">
        <v>17.600000000000001</v>
      </c>
      <c r="D7" s="1">
        <v>92.2</v>
      </c>
      <c r="E7" s="1">
        <v>44.5</v>
      </c>
      <c r="F7" s="1">
        <v>86.7</v>
      </c>
      <c r="G7" s="159">
        <v>103.5</v>
      </c>
      <c r="H7" s="1">
        <v>8.9</v>
      </c>
      <c r="I7" s="1">
        <v>3</v>
      </c>
      <c r="J7" s="1">
        <v>49</v>
      </c>
      <c r="K7" s="1">
        <v>5.9</v>
      </c>
      <c r="L7" s="159">
        <v>100.6</v>
      </c>
      <c r="M7" s="1">
        <v>116.8</v>
      </c>
    </row>
    <row r="8" spans="1:13" x14ac:dyDescent="0.25">
      <c r="A8" s="1">
        <v>7</v>
      </c>
      <c r="B8" s="1" t="s">
        <v>91</v>
      </c>
      <c r="C8" s="1">
        <v>20.100000000000001</v>
      </c>
      <c r="D8" s="1">
        <v>89.6</v>
      </c>
      <c r="E8" s="1">
        <v>47.1</v>
      </c>
      <c r="F8" s="1">
        <v>80.599999999999994</v>
      </c>
      <c r="G8" s="159">
        <v>92.5</v>
      </c>
      <c r="H8" s="1">
        <v>10.5</v>
      </c>
      <c r="I8" s="1">
        <v>3.6</v>
      </c>
      <c r="J8" s="1">
        <v>46.5</v>
      </c>
      <c r="K8" s="1">
        <v>6.9</v>
      </c>
      <c r="L8" s="159">
        <v>98.7</v>
      </c>
      <c r="M8" s="1">
        <v>119.1</v>
      </c>
    </row>
    <row r="9" spans="1:13" x14ac:dyDescent="0.25">
      <c r="A9" s="1">
        <v>8</v>
      </c>
      <c r="B9" s="1" t="s">
        <v>91</v>
      </c>
      <c r="C9" s="1">
        <v>19.399999999999999</v>
      </c>
      <c r="D9" s="1">
        <v>90.8</v>
      </c>
      <c r="E9" s="1">
        <v>46.4</v>
      </c>
      <c r="F9" s="1">
        <v>81.099999999999994</v>
      </c>
      <c r="G9" s="159">
        <v>93.2</v>
      </c>
      <c r="H9" s="1">
        <v>9.1999999999999993</v>
      </c>
      <c r="I9" s="1">
        <v>2.9</v>
      </c>
      <c r="J9" s="1">
        <v>47.1</v>
      </c>
      <c r="K9" s="1">
        <v>6.3</v>
      </c>
      <c r="L9" s="159">
        <v>99.8</v>
      </c>
      <c r="M9" s="1">
        <v>118.9</v>
      </c>
    </row>
    <row r="10" spans="1:13" x14ac:dyDescent="0.25">
      <c r="A10" s="1">
        <v>9</v>
      </c>
      <c r="B10" s="1" t="s">
        <v>91</v>
      </c>
      <c r="C10" s="1">
        <v>18.899999999999999</v>
      </c>
      <c r="D10" s="1">
        <v>92.1</v>
      </c>
      <c r="E10" s="1">
        <v>45.3</v>
      </c>
      <c r="F10" s="1">
        <v>82.4</v>
      </c>
      <c r="G10" s="159">
        <v>95.4</v>
      </c>
      <c r="H10" s="1">
        <v>9.4</v>
      </c>
      <c r="I10" s="1">
        <v>3.2</v>
      </c>
      <c r="J10" s="1">
        <v>47.5</v>
      </c>
      <c r="K10" s="1">
        <v>6.2</v>
      </c>
      <c r="L10" s="159">
        <v>101.4</v>
      </c>
      <c r="M10" s="1">
        <v>118.4</v>
      </c>
    </row>
    <row r="11" spans="1:13" x14ac:dyDescent="0.25">
      <c r="A11" s="1">
        <v>10</v>
      </c>
      <c r="B11" s="1" t="s">
        <v>91</v>
      </c>
      <c r="C11" s="1">
        <v>18.8</v>
      </c>
      <c r="D11" s="1">
        <v>95.2</v>
      </c>
      <c r="E11" s="1">
        <v>42.2</v>
      </c>
      <c r="F11" s="1">
        <v>87.8</v>
      </c>
      <c r="G11" s="159">
        <v>109.9</v>
      </c>
      <c r="H11" s="1">
        <v>7.3</v>
      </c>
      <c r="I11" s="1">
        <v>3.2</v>
      </c>
      <c r="J11" s="1">
        <v>49.2</v>
      </c>
      <c r="K11" s="1">
        <v>4.0999999999999996</v>
      </c>
      <c r="L11" s="159">
        <v>109.4</v>
      </c>
      <c r="M11" s="1">
        <v>121.9</v>
      </c>
    </row>
    <row r="12" spans="1:13" x14ac:dyDescent="0.25">
      <c r="A12" s="1">
        <v>11</v>
      </c>
      <c r="B12" s="1" t="s">
        <v>91</v>
      </c>
      <c r="C12" s="1">
        <v>18.5</v>
      </c>
      <c r="D12" s="1">
        <v>97.4</v>
      </c>
      <c r="E12" s="1">
        <v>43.3</v>
      </c>
      <c r="F12" s="1">
        <v>88.3</v>
      </c>
      <c r="G12" s="159">
        <v>110.8</v>
      </c>
      <c r="H12" s="1">
        <v>6.8</v>
      </c>
      <c r="I12" s="1">
        <v>3.3</v>
      </c>
      <c r="J12" s="1">
        <v>50.7</v>
      </c>
      <c r="K12" s="1">
        <v>3.5</v>
      </c>
      <c r="L12" s="159">
        <v>112.3</v>
      </c>
      <c r="M12" s="1">
        <v>116.3</v>
      </c>
    </row>
    <row r="13" spans="1:13" x14ac:dyDescent="0.25">
      <c r="A13" s="1">
        <v>12</v>
      </c>
      <c r="B13" s="1" t="s">
        <v>91</v>
      </c>
      <c r="C13" s="1">
        <v>19.100000000000001</v>
      </c>
      <c r="D13" s="1">
        <v>91.3</v>
      </c>
      <c r="E13" s="1">
        <v>46.9</v>
      </c>
      <c r="F13" s="1">
        <v>81.400000000000006</v>
      </c>
      <c r="G13" s="159">
        <v>93.2</v>
      </c>
      <c r="H13" s="1">
        <v>10.6</v>
      </c>
      <c r="I13" s="1">
        <v>4.9000000000000004</v>
      </c>
      <c r="J13" s="1">
        <v>46.5</v>
      </c>
      <c r="K13" s="1">
        <v>5.7</v>
      </c>
      <c r="L13" s="159">
        <v>98.3</v>
      </c>
      <c r="M13" s="1">
        <v>118.6</v>
      </c>
    </row>
    <row r="14" spans="1:13" x14ac:dyDescent="0.25">
      <c r="A14" s="1">
        <v>13</v>
      </c>
      <c r="B14" s="1" t="s">
        <v>91</v>
      </c>
      <c r="C14" s="1">
        <v>19.8</v>
      </c>
      <c r="D14" s="1">
        <v>89.9</v>
      </c>
      <c r="E14" s="1">
        <v>47.3</v>
      </c>
      <c r="F14" s="1">
        <v>82.1</v>
      </c>
      <c r="G14" s="159">
        <v>92.5</v>
      </c>
      <c r="H14" s="1">
        <v>9.8000000000000007</v>
      </c>
      <c r="I14" s="1">
        <v>3.6</v>
      </c>
      <c r="J14" s="1">
        <v>45.9</v>
      </c>
      <c r="K14" s="1">
        <v>6.2</v>
      </c>
      <c r="L14" s="159">
        <v>95.4</v>
      </c>
      <c r="M14" s="1">
        <v>119.2</v>
      </c>
    </row>
    <row r="15" spans="1:13" x14ac:dyDescent="0.25">
      <c r="A15" s="1">
        <v>14</v>
      </c>
      <c r="B15" s="1" t="s">
        <v>91</v>
      </c>
      <c r="C15" s="1">
        <v>19.7</v>
      </c>
      <c r="D15" s="1">
        <v>88.6</v>
      </c>
      <c r="E15" s="1">
        <v>46.8</v>
      </c>
      <c r="F15" s="1">
        <v>81.900000000000006</v>
      </c>
      <c r="G15" s="159">
        <v>94.1</v>
      </c>
      <c r="H15" s="1">
        <v>9.4</v>
      </c>
      <c r="I15" s="1">
        <v>2.7</v>
      </c>
      <c r="J15" s="1">
        <v>47.1</v>
      </c>
      <c r="K15" s="1">
        <v>6.7</v>
      </c>
      <c r="L15" s="159">
        <v>99.8</v>
      </c>
      <c r="M15" s="1">
        <v>118.9</v>
      </c>
    </row>
    <row r="16" spans="1:13" x14ac:dyDescent="0.25">
      <c r="A16" s="1">
        <v>15</v>
      </c>
      <c r="B16" s="1" t="s">
        <v>91</v>
      </c>
      <c r="C16" s="1">
        <v>18.2</v>
      </c>
      <c r="D16" s="1">
        <v>94.3</v>
      </c>
      <c r="E16" s="1">
        <v>41.3</v>
      </c>
      <c r="F16" s="1">
        <v>86.3</v>
      </c>
      <c r="G16" s="159">
        <v>104.5</v>
      </c>
      <c r="H16" s="1">
        <v>8.3000000000000007</v>
      </c>
      <c r="I16" s="1">
        <v>3.2</v>
      </c>
      <c r="J16" s="1">
        <v>48.3</v>
      </c>
      <c r="K16" s="1">
        <v>5.0999999999999996</v>
      </c>
      <c r="L16" s="159">
        <v>105.4</v>
      </c>
      <c r="M16" s="1">
        <v>127.4</v>
      </c>
    </row>
    <row r="17" spans="1:13" x14ac:dyDescent="0.25">
      <c r="A17" s="1">
        <v>16</v>
      </c>
      <c r="B17" s="1" t="s">
        <v>91</v>
      </c>
      <c r="C17" s="1">
        <v>18.7</v>
      </c>
      <c r="D17" s="1">
        <v>101.4</v>
      </c>
      <c r="E17" s="1">
        <v>41.5</v>
      </c>
      <c r="F17" s="1">
        <v>83.2</v>
      </c>
      <c r="G17" s="159">
        <v>102.6</v>
      </c>
      <c r="H17" s="1">
        <v>9.1</v>
      </c>
      <c r="I17" s="1" t="s">
        <v>13</v>
      </c>
      <c r="J17" s="1">
        <v>49.2</v>
      </c>
      <c r="K17" s="1">
        <v>5.3</v>
      </c>
      <c r="L17" s="159">
        <v>110.4</v>
      </c>
      <c r="M17" s="1">
        <v>119.3</v>
      </c>
    </row>
    <row r="18" spans="1:13" x14ac:dyDescent="0.25">
      <c r="A18" s="1">
        <v>17</v>
      </c>
      <c r="B18" s="1" t="s">
        <v>91</v>
      </c>
      <c r="C18" s="1">
        <v>20</v>
      </c>
      <c r="D18" s="1">
        <v>88.7</v>
      </c>
      <c r="E18" s="1">
        <v>45</v>
      </c>
      <c r="F18" s="1">
        <v>78.3</v>
      </c>
      <c r="G18" s="159">
        <v>86.7</v>
      </c>
      <c r="H18" s="1">
        <v>9.6999999999999993</v>
      </c>
      <c r="I18" s="1">
        <v>3</v>
      </c>
      <c r="J18" s="1">
        <v>46.3</v>
      </c>
      <c r="K18" s="1">
        <v>6.7</v>
      </c>
      <c r="L18" s="159">
        <v>83.7</v>
      </c>
      <c r="M18" s="1">
        <v>118.9</v>
      </c>
    </row>
    <row r="19" spans="1:13" x14ac:dyDescent="0.25">
      <c r="A19" s="1">
        <v>18</v>
      </c>
      <c r="B19" s="1" t="s">
        <v>91</v>
      </c>
      <c r="C19" s="1">
        <v>19.7</v>
      </c>
      <c r="D19" s="1">
        <v>94.1</v>
      </c>
      <c r="E19" s="1">
        <v>40.5</v>
      </c>
      <c r="F19" s="1">
        <v>85.9</v>
      </c>
      <c r="G19" s="159">
        <v>102.6</v>
      </c>
      <c r="H19" s="1">
        <v>7.4</v>
      </c>
      <c r="I19" s="1">
        <v>3.1</v>
      </c>
      <c r="J19" s="1">
        <v>47.6</v>
      </c>
      <c r="K19" s="1">
        <v>4.3</v>
      </c>
      <c r="L19" s="159">
        <v>109.1</v>
      </c>
      <c r="M19" s="1">
        <v>117.4</v>
      </c>
    </row>
    <row r="20" spans="1:13" x14ac:dyDescent="0.25">
      <c r="A20" s="1">
        <v>19</v>
      </c>
      <c r="B20" s="1" t="s">
        <v>91</v>
      </c>
      <c r="C20" s="1">
        <v>18.100000000000001</v>
      </c>
      <c r="D20" s="1">
        <v>99.5</v>
      </c>
      <c r="E20" s="1">
        <v>41.3</v>
      </c>
      <c r="F20" s="1">
        <v>84.3</v>
      </c>
      <c r="G20" s="159">
        <v>95.3</v>
      </c>
      <c r="H20" s="1">
        <v>8.9</v>
      </c>
      <c r="I20" s="1">
        <v>3.5</v>
      </c>
      <c r="J20" s="1">
        <v>48.4</v>
      </c>
      <c r="K20" s="1">
        <v>5.4</v>
      </c>
      <c r="L20" s="159">
        <v>110.4</v>
      </c>
      <c r="M20" s="1">
        <v>119.4</v>
      </c>
    </row>
    <row r="21" spans="1:13" x14ac:dyDescent="0.25">
      <c r="A21" s="5">
        <v>20</v>
      </c>
      <c r="B21" s="1" t="s">
        <v>91</v>
      </c>
      <c r="C21" s="6">
        <v>30.1</v>
      </c>
      <c r="D21" s="6">
        <v>92.8</v>
      </c>
      <c r="E21" s="6">
        <v>43</v>
      </c>
      <c r="F21" s="6">
        <v>57.4</v>
      </c>
      <c r="G21" s="6">
        <v>81.099999999999994</v>
      </c>
      <c r="H21" s="6">
        <v>18.899999999999999</v>
      </c>
      <c r="I21" s="6">
        <v>8.3000000000000007</v>
      </c>
      <c r="J21" s="6">
        <v>30.4</v>
      </c>
      <c r="K21" s="6">
        <v>10.7</v>
      </c>
      <c r="L21" s="6">
        <v>90</v>
      </c>
      <c r="M21" s="6" t="s">
        <v>15</v>
      </c>
    </row>
    <row r="22" spans="1:13" x14ac:dyDescent="0.25">
      <c r="A22" s="5">
        <v>21</v>
      </c>
      <c r="B22" s="1" t="s">
        <v>91</v>
      </c>
      <c r="C22" s="6">
        <v>38.4</v>
      </c>
      <c r="D22" s="6" t="s">
        <v>16</v>
      </c>
      <c r="E22" s="6">
        <v>44.8</v>
      </c>
      <c r="F22" s="6">
        <v>63</v>
      </c>
      <c r="G22" s="6">
        <v>83.1</v>
      </c>
      <c r="H22" s="6" t="s">
        <v>17</v>
      </c>
      <c r="I22" s="6">
        <v>-23</v>
      </c>
      <c r="J22" s="6">
        <v>22.3</v>
      </c>
      <c r="K22" s="6">
        <v>24.4</v>
      </c>
      <c r="L22" s="6">
        <v>96.2</v>
      </c>
      <c r="M22" s="6">
        <v>141.5</v>
      </c>
    </row>
    <row r="23" spans="1:13" x14ac:dyDescent="0.25">
      <c r="A23" s="5">
        <v>22</v>
      </c>
      <c r="B23" s="1" t="s">
        <v>91</v>
      </c>
      <c r="C23" s="6">
        <v>30.8</v>
      </c>
      <c r="D23" s="6">
        <v>98.6</v>
      </c>
      <c r="E23" s="6">
        <v>40.9</v>
      </c>
      <c r="F23" s="6">
        <v>58.8</v>
      </c>
      <c r="G23" s="6">
        <v>77.099999999999994</v>
      </c>
      <c r="H23" s="6">
        <v>17.100000000000001</v>
      </c>
      <c r="I23" s="6">
        <v>7.9</v>
      </c>
      <c r="J23" s="6">
        <v>28.2</v>
      </c>
      <c r="K23" s="6">
        <v>10.5</v>
      </c>
      <c r="L23" s="6">
        <v>79.900000000000006</v>
      </c>
      <c r="M23" s="6">
        <v>128.5</v>
      </c>
    </row>
    <row r="24" spans="1:13" x14ac:dyDescent="0.25">
      <c r="A24" s="5">
        <v>23</v>
      </c>
      <c r="B24" s="1" t="s">
        <v>91</v>
      </c>
      <c r="C24" s="6">
        <v>35.200000000000003</v>
      </c>
      <c r="D24" s="6">
        <v>91</v>
      </c>
      <c r="E24" s="6">
        <v>45.1</v>
      </c>
      <c r="F24" s="6">
        <v>61.6</v>
      </c>
      <c r="G24" s="6">
        <v>79.3</v>
      </c>
      <c r="H24" s="6">
        <v>17</v>
      </c>
      <c r="I24" s="6">
        <v>7.8</v>
      </c>
      <c r="J24" s="6">
        <v>23.6</v>
      </c>
      <c r="K24" s="7">
        <v>10.1</v>
      </c>
      <c r="L24" s="6">
        <v>85</v>
      </c>
      <c r="M24" s="6">
        <v>137.6</v>
      </c>
    </row>
    <row r="25" spans="1:13" x14ac:dyDescent="0.25">
      <c r="A25" s="5">
        <v>24</v>
      </c>
      <c r="B25" s="1" t="s">
        <v>91</v>
      </c>
      <c r="C25" s="6">
        <v>32.4</v>
      </c>
      <c r="D25" s="6">
        <v>90.2</v>
      </c>
      <c r="E25" s="6">
        <v>43.1</v>
      </c>
      <c r="F25" s="6">
        <v>57.3</v>
      </c>
      <c r="G25" s="6">
        <v>76.099999999999994</v>
      </c>
      <c r="H25" s="6">
        <v>16.2</v>
      </c>
      <c r="I25" s="6">
        <v>7.6</v>
      </c>
      <c r="J25" s="6">
        <v>21.2</v>
      </c>
      <c r="K25" s="6">
        <v>9.5</v>
      </c>
      <c r="L25" s="6">
        <v>80</v>
      </c>
      <c r="M25" s="6">
        <v>130.1</v>
      </c>
    </row>
    <row r="26" spans="1:13" x14ac:dyDescent="0.25">
      <c r="A26" s="5">
        <v>25</v>
      </c>
      <c r="B26" s="1" t="s">
        <v>91</v>
      </c>
      <c r="C26" s="6">
        <v>26.6</v>
      </c>
      <c r="D26" s="6">
        <v>98.4</v>
      </c>
      <c r="E26" s="6">
        <v>43.4</v>
      </c>
      <c r="F26" s="6">
        <v>64.2</v>
      </c>
      <c r="G26" s="6">
        <v>74.5</v>
      </c>
      <c r="H26" s="6">
        <v>16.3</v>
      </c>
      <c r="I26" s="6">
        <v>19.100000000000001</v>
      </c>
      <c r="J26" s="6">
        <v>29.2</v>
      </c>
      <c r="K26" s="6">
        <v>-2.8</v>
      </c>
      <c r="L26" s="6">
        <v>71.599999999999994</v>
      </c>
      <c r="M26" s="6">
        <v>118.8</v>
      </c>
    </row>
    <row r="27" spans="1:13" x14ac:dyDescent="0.25">
      <c r="A27" s="5">
        <v>26</v>
      </c>
      <c r="B27" s="1" t="s">
        <v>91</v>
      </c>
      <c r="C27" s="6">
        <v>35.200000000000003</v>
      </c>
      <c r="D27" s="6">
        <v>86.7</v>
      </c>
      <c r="E27" s="6">
        <v>53.6</v>
      </c>
      <c r="F27" s="6">
        <v>65.599999999999994</v>
      </c>
      <c r="G27" s="6">
        <v>76.2</v>
      </c>
      <c r="H27" s="6">
        <v>16.899999999999999</v>
      </c>
      <c r="I27" s="6">
        <v>3.5</v>
      </c>
      <c r="J27" s="6">
        <v>33.200000000000003</v>
      </c>
      <c r="K27" s="6">
        <v>13.4</v>
      </c>
      <c r="L27" s="6">
        <v>82.6</v>
      </c>
      <c r="M27" s="6">
        <v>129.9</v>
      </c>
    </row>
    <row r="28" spans="1:13" x14ac:dyDescent="0.25">
      <c r="A28" s="5">
        <v>27</v>
      </c>
      <c r="B28" s="1" t="s">
        <v>91</v>
      </c>
      <c r="C28" s="6">
        <v>29.6</v>
      </c>
      <c r="D28" s="6">
        <v>90.5</v>
      </c>
      <c r="E28" s="6">
        <v>45.9</v>
      </c>
      <c r="F28" s="6">
        <v>68.3</v>
      </c>
      <c r="G28" s="6">
        <v>81.2</v>
      </c>
      <c r="H28" s="6" t="s">
        <v>14</v>
      </c>
      <c r="I28" s="6">
        <v>11.9</v>
      </c>
      <c r="J28" s="6">
        <v>29.2</v>
      </c>
      <c r="K28" s="6">
        <v>8.3000000000000007</v>
      </c>
      <c r="L28" s="6">
        <v>103.7</v>
      </c>
      <c r="M28" s="6">
        <v>127.8</v>
      </c>
    </row>
    <row r="29" spans="1:13" x14ac:dyDescent="0.25">
      <c r="A29" s="5">
        <v>28</v>
      </c>
      <c r="B29" s="1" t="s">
        <v>91</v>
      </c>
      <c r="C29" s="6">
        <v>33.4</v>
      </c>
      <c r="D29" s="6">
        <v>85.5</v>
      </c>
      <c r="E29" s="6">
        <v>50.6</v>
      </c>
      <c r="F29" s="6">
        <v>51.6</v>
      </c>
      <c r="G29" s="6">
        <v>77.099999999999994</v>
      </c>
      <c r="H29" s="6">
        <v>13.3</v>
      </c>
      <c r="I29" s="6">
        <v>5.9</v>
      </c>
      <c r="J29" s="6">
        <v>13.4</v>
      </c>
      <c r="K29" s="6">
        <v>7.3</v>
      </c>
      <c r="L29" s="6">
        <v>83</v>
      </c>
      <c r="M29" s="6">
        <v>139.6</v>
      </c>
    </row>
    <row r="30" spans="1:13" x14ac:dyDescent="0.25">
      <c r="A30" s="5">
        <v>29</v>
      </c>
      <c r="B30" s="1" t="s">
        <v>91</v>
      </c>
      <c r="C30" s="6">
        <v>32.200000000000003</v>
      </c>
      <c r="D30" s="6">
        <v>94.2</v>
      </c>
      <c r="E30" s="6">
        <v>41.6</v>
      </c>
      <c r="F30" s="6">
        <v>57.8</v>
      </c>
      <c r="G30" s="6">
        <v>76.3</v>
      </c>
      <c r="H30" s="6">
        <v>11.4</v>
      </c>
      <c r="I30" s="6">
        <v>0</v>
      </c>
      <c r="J30" s="6">
        <v>30.1</v>
      </c>
      <c r="K30" s="6">
        <v>11.4</v>
      </c>
      <c r="L30" s="6">
        <v>87.1</v>
      </c>
      <c r="M30" s="6">
        <v>137.6</v>
      </c>
    </row>
    <row r="31" spans="1:13" x14ac:dyDescent="0.25">
      <c r="G31">
        <f>SUM(G21:G30)/10</f>
        <v>78.2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59"/>
  <sheetViews>
    <sheetView topLeftCell="N1" zoomScaleNormal="100" workbookViewId="0">
      <selection activeCell="AB45" sqref="AB45"/>
    </sheetView>
  </sheetViews>
  <sheetFormatPr baseColWidth="10" defaultRowHeight="15" x14ac:dyDescent="0.25"/>
  <cols>
    <col min="2" max="2" width="22.85546875" bestFit="1" customWidth="1"/>
    <col min="13" max="13" width="11.42578125" style="95"/>
    <col min="15" max="15" width="19.42578125" bestFit="1" customWidth="1"/>
  </cols>
  <sheetData>
    <row r="1" spans="1:54" ht="48" x14ac:dyDescent="0.25">
      <c r="A1" s="3" t="s">
        <v>11</v>
      </c>
      <c r="B1" s="3" t="s">
        <v>90</v>
      </c>
      <c r="C1" s="32" t="s">
        <v>61</v>
      </c>
      <c r="D1" s="32" t="s">
        <v>9</v>
      </c>
      <c r="E1" s="32" t="s">
        <v>8</v>
      </c>
      <c r="F1" s="32" t="s">
        <v>7</v>
      </c>
      <c r="G1" s="32" t="s">
        <v>6</v>
      </c>
      <c r="H1" s="32" t="s">
        <v>5</v>
      </c>
      <c r="I1" s="32" t="s">
        <v>4</v>
      </c>
      <c r="J1" s="32" t="s">
        <v>3</v>
      </c>
      <c r="K1" s="32" t="s">
        <v>2</v>
      </c>
      <c r="L1" s="32" t="s">
        <v>1</v>
      </c>
      <c r="M1" s="90" t="s">
        <v>0</v>
      </c>
    </row>
    <row r="2" spans="1:54" x14ac:dyDescent="0.25">
      <c r="A2" s="5">
        <v>20</v>
      </c>
      <c r="B2" s="1" t="s">
        <v>93</v>
      </c>
      <c r="C2" s="6">
        <v>128.19999999999999</v>
      </c>
      <c r="D2" s="6">
        <v>90</v>
      </c>
      <c r="E2" s="6">
        <v>10.7</v>
      </c>
      <c r="F2" s="6">
        <v>30.4</v>
      </c>
      <c r="G2" s="6">
        <v>8.3000000000000007</v>
      </c>
      <c r="H2" s="6">
        <v>18.899999999999999</v>
      </c>
      <c r="I2" s="6">
        <v>92.7</v>
      </c>
      <c r="J2" s="6">
        <v>57.4</v>
      </c>
      <c r="K2" s="6">
        <v>43</v>
      </c>
      <c r="L2" s="6">
        <v>92.8</v>
      </c>
      <c r="M2" s="91">
        <v>30.1</v>
      </c>
      <c r="O2" t="s">
        <v>97</v>
      </c>
    </row>
    <row r="3" spans="1:54" x14ac:dyDescent="0.25">
      <c r="A3" s="5">
        <v>21</v>
      </c>
      <c r="B3" s="1" t="s">
        <v>93</v>
      </c>
      <c r="C3" s="6">
        <v>141.5</v>
      </c>
      <c r="D3" s="6">
        <v>96.2</v>
      </c>
      <c r="E3" s="6">
        <v>24.4</v>
      </c>
      <c r="F3" s="6">
        <v>22.3</v>
      </c>
      <c r="G3" s="6">
        <v>-23</v>
      </c>
      <c r="H3" s="6">
        <v>1.4</v>
      </c>
      <c r="I3" s="6">
        <v>96.2</v>
      </c>
      <c r="J3" s="6">
        <v>63</v>
      </c>
      <c r="K3" s="6">
        <v>44.8</v>
      </c>
      <c r="L3" s="6">
        <v>93.5</v>
      </c>
      <c r="M3" s="91">
        <v>38.4</v>
      </c>
    </row>
    <row r="4" spans="1:54" ht="15.75" thickBot="1" x14ac:dyDescent="0.3">
      <c r="A4" s="5">
        <v>22</v>
      </c>
      <c r="B4" s="1" t="s">
        <v>93</v>
      </c>
      <c r="C4" s="6">
        <v>128.5</v>
      </c>
      <c r="D4" s="6">
        <v>79.900000000000006</v>
      </c>
      <c r="E4" s="6">
        <v>10.5</v>
      </c>
      <c r="F4" s="6">
        <v>28.2</v>
      </c>
      <c r="G4" s="6">
        <v>7.9</v>
      </c>
      <c r="H4" s="6">
        <v>17.100000000000001</v>
      </c>
      <c r="I4" s="6">
        <v>92.1</v>
      </c>
      <c r="J4" s="6">
        <v>58.8</v>
      </c>
      <c r="K4" s="6">
        <v>40.9</v>
      </c>
      <c r="L4" s="6">
        <v>98.6</v>
      </c>
      <c r="M4" s="91">
        <v>30.8</v>
      </c>
      <c r="O4" t="e">
        <f t="array" aca="1" ref="O4:Q33" ca="1">[2]!StdAnova1(B2:C59)</f>
        <v>#NAME?</v>
      </c>
      <c r="P4" t="e">
        <f ca="1"/>
        <v>#NAME?</v>
      </c>
      <c r="Q4" t="e">
        <f ca="1"/>
        <v>#NAME?</v>
      </c>
      <c r="S4" t="s">
        <v>98</v>
      </c>
      <c r="AC4" t="s">
        <v>118</v>
      </c>
      <c r="AI4" t="s">
        <v>70</v>
      </c>
      <c r="AL4" t="s">
        <v>130</v>
      </c>
      <c r="AO4" t="s">
        <v>100</v>
      </c>
      <c r="AP4">
        <v>0.05</v>
      </c>
      <c r="AW4" t="s">
        <v>142</v>
      </c>
    </row>
    <row r="5" spans="1:54" ht="15.75" thickTop="1" x14ac:dyDescent="0.25">
      <c r="A5" s="5">
        <v>23</v>
      </c>
      <c r="B5" s="1" t="s">
        <v>93</v>
      </c>
      <c r="C5" s="6">
        <v>137.6</v>
      </c>
      <c r="D5" s="6">
        <v>85</v>
      </c>
      <c r="E5" s="7">
        <v>10.1</v>
      </c>
      <c r="F5" s="6">
        <v>23.6</v>
      </c>
      <c r="G5" s="6">
        <v>7.8</v>
      </c>
      <c r="H5" s="6">
        <v>17</v>
      </c>
      <c r="I5" s="6">
        <v>93.5</v>
      </c>
      <c r="J5" s="6">
        <v>61.6</v>
      </c>
      <c r="K5" s="6">
        <v>45.1</v>
      </c>
      <c r="L5" s="6">
        <v>91</v>
      </c>
      <c r="M5" s="91">
        <v>35.200000000000003</v>
      </c>
      <c r="O5" s="45" t="e">
        <f ca="1"/>
        <v>#NAME?</v>
      </c>
      <c r="P5" s="46" t="e">
        <f ca="1"/>
        <v>#NAME?</v>
      </c>
      <c r="Q5" s="47" t="e">
        <f ca="1"/>
        <v>#NAME?</v>
      </c>
      <c r="AL5" s="53" t="s">
        <v>101</v>
      </c>
      <c r="AM5" s="53" t="s">
        <v>131</v>
      </c>
      <c r="AN5" s="53" t="s">
        <v>132</v>
      </c>
      <c r="AO5" s="53" t="s">
        <v>41</v>
      </c>
      <c r="AP5" s="53" t="s">
        <v>133</v>
      </c>
      <c r="AW5" s="53" t="s">
        <v>101</v>
      </c>
      <c r="AX5" s="53" t="s">
        <v>131</v>
      </c>
      <c r="AY5" s="53" t="s">
        <v>143</v>
      </c>
      <c r="AZ5" s="53" t="s">
        <v>41</v>
      </c>
    </row>
    <row r="6" spans="1:54" ht="15.75" thickBot="1" x14ac:dyDescent="0.3">
      <c r="A6" s="5">
        <v>24</v>
      </c>
      <c r="B6" s="1" t="s">
        <v>93</v>
      </c>
      <c r="C6" s="6">
        <v>130.1</v>
      </c>
      <c r="D6" s="6">
        <v>80</v>
      </c>
      <c r="E6" s="6">
        <v>9.5</v>
      </c>
      <c r="F6" s="6">
        <v>21.2</v>
      </c>
      <c r="G6" s="6">
        <v>7.6</v>
      </c>
      <c r="H6" s="6">
        <v>16.2</v>
      </c>
      <c r="I6" s="6">
        <v>92.1</v>
      </c>
      <c r="J6" s="6">
        <v>57.3</v>
      </c>
      <c r="K6" s="6">
        <v>43.1</v>
      </c>
      <c r="L6" s="6">
        <v>90.2</v>
      </c>
      <c r="M6" s="91">
        <v>32.4</v>
      </c>
      <c r="O6" s="48" t="e">
        <f ca="1"/>
        <v>#NAME?</v>
      </c>
      <c r="P6" t="e">
        <f ca="1"/>
        <v>#NAME?</v>
      </c>
      <c r="Q6" s="49" t="e">
        <f ca="1"/>
        <v>#NAME?</v>
      </c>
      <c r="S6" t="s">
        <v>99</v>
      </c>
      <c r="X6" t="s">
        <v>100</v>
      </c>
      <c r="Y6">
        <v>0.05</v>
      </c>
      <c r="AD6" t="e">
        <f ca="1">O4</f>
        <v>#NAME?</v>
      </c>
      <c r="AE6" t="e">
        <f t="shared" ref="AE6:AF6" ca="1" si="0">P4</f>
        <v>#NAME?</v>
      </c>
      <c r="AF6" t="e">
        <f t="shared" ca="1" si="0"/>
        <v>#NAME?</v>
      </c>
      <c r="AI6" t="s">
        <v>126</v>
      </c>
      <c r="AJ6" s="44" t="s">
        <v>67</v>
      </c>
      <c r="AL6" t="e">
        <f ca="1">O4</f>
        <v>#NAME?</v>
      </c>
      <c r="AM6" s="60"/>
      <c r="AN6" t="e">
        <f ca="1">AVERAGE(O5:O33)</f>
        <v>#NAME?</v>
      </c>
      <c r="AO6">
        <f ca="1">COUNT(O5:O33)</f>
        <v>0</v>
      </c>
      <c r="AP6" t="e">
        <f ca="1">DEVSQ(O5:O33)</f>
        <v>#NAME?</v>
      </c>
      <c r="AW6" t="e">
        <f ca="1">O4</f>
        <v>#NAME?</v>
      </c>
      <c r="AX6" s="60"/>
      <c r="AY6" t="e">
        <f ca="1">[2]!RANK_SUM(O5:Q33,1,1)/AZ6</f>
        <v>#NAME?</v>
      </c>
      <c r="AZ6">
        <f ca="1">COUNT(O5:O33)</f>
        <v>0</v>
      </c>
    </row>
    <row r="7" spans="1:54" ht="15.75" thickTop="1" x14ac:dyDescent="0.25">
      <c r="A7" s="5">
        <v>25</v>
      </c>
      <c r="B7" s="1" t="s">
        <v>93</v>
      </c>
      <c r="C7" s="6">
        <v>118.8</v>
      </c>
      <c r="D7" s="6">
        <v>71.599999999999994</v>
      </c>
      <c r="E7" s="6">
        <v>-2.8</v>
      </c>
      <c r="F7" s="6">
        <v>29.2</v>
      </c>
      <c r="G7" s="6">
        <v>19.100000000000001</v>
      </c>
      <c r="H7" s="6">
        <v>16.3</v>
      </c>
      <c r="I7" s="6">
        <v>95.5</v>
      </c>
      <c r="J7" s="6">
        <v>64.2</v>
      </c>
      <c r="K7" s="6">
        <v>43.4</v>
      </c>
      <c r="L7" s="6">
        <v>98.4</v>
      </c>
      <c r="M7" s="91">
        <v>26.6</v>
      </c>
      <c r="O7" s="48" t="e">
        <f ca="1"/>
        <v>#NAME?</v>
      </c>
      <c r="P7" t="e">
        <f ca="1"/>
        <v>#NAME?</v>
      </c>
      <c r="Q7" s="49" t="e">
        <f ca="1"/>
        <v>#NAME?</v>
      </c>
      <c r="S7" s="53" t="s">
        <v>101</v>
      </c>
      <c r="T7" s="53" t="s">
        <v>65</v>
      </c>
      <c r="U7" s="53" t="s">
        <v>95</v>
      </c>
      <c r="V7" s="53" t="s">
        <v>62</v>
      </c>
      <c r="W7" s="53" t="s">
        <v>102</v>
      </c>
      <c r="X7" s="53" t="s">
        <v>103</v>
      </c>
      <c r="Y7" s="53" t="s">
        <v>104</v>
      </c>
      <c r="Z7" s="53" t="s">
        <v>105</v>
      </c>
      <c r="AA7" s="53" t="s">
        <v>106</v>
      </c>
      <c r="AC7" t="s">
        <v>119</v>
      </c>
      <c r="AD7" s="45" t="e">
        <f ca="1">MEDIAN(O5:O33)</f>
        <v>#NAME?</v>
      </c>
      <c r="AE7" s="46" t="e">
        <f t="shared" ref="AE7:AF7" ca="1" si="1">MEDIAN(P5:P33)</f>
        <v>#NAME?</v>
      </c>
      <c r="AF7" s="47" t="e">
        <f t="shared" ca="1" si="1"/>
        <v>#NAME?</v>
      </c>
      <c r="AI7" t="s">
        <v>127</v>
      </c>
      <c r="AJ7" s="56" t="e">
        <f ca="1">[2]!LEVENE(O5:Q33)</f>
        <v>#NAME?</v>
      </c>
      <c r="AL7" t="e">
        <f ca="1">P4</f>
        <v>#NAME?</v>
      </c>
      <c r="AM7" s="60"/>
      <c r="AN7" t="e">
        <f ca="1">AVERAGE(P5:P33)</f>
        <v>#NAME?</v>
      </c>
      <c r="AO7">
        <f ca="1">COUNT(P5:P33)</f>
        <v>0</v>
      </c>
      <c r="AP7" t="e">
        <f ca="1">DEVSQ(P5:P33)</f>
        <v>#NAME?</v>
      </c>
      <c r="AW7" t="e">
        <f ca="1">P4</f>
        <v>#NAME?</v>
      </c>
      <c r="AX7" s="60">
        <v>-1</v>
      </c>
      <c r="AY7" t="e">
        <f ca="1">[2]!RANK_SUM(O5:Q33,2,1)/AZ7</f>
        <v>#NAME?</v>
      </c>
      <c r="AZ7">
        <f ca="1">COUNT(P5:P33)</f>
        <v>0</v>
      </c>
    </row>
    <row r="8" spans="1:54" x14ac:dyDescent="0.25">
      <c r="A8" s="5">
        <v>26</v>
      </c>
      <c r="B8" s="1" t="s">
        <v>93</v>
      </c>
      <c r="C8" s="6">
        <v>129.9</v>
      </c>
      <c r="D8" s="6">
        <v>82.6</v>
      </c>
      <c r="E8" s="6">
        <v>13.4</v>
      </c>
      <c r="F8" s="6">
        <v>33.200000000000003</v>
      </c>
      <c r="G8" s="6">
        <v>3.5</v>
      </c>
      <c r="H8" s="6">
        <v>16.899999999999999</v>
      </c>
      <c r="I8" s="6">
        <v>84.2</v>
      </c>
      <c r="J8" s="6">
        <v>65.599999999999994</v>
      </c>
      <c r="K8" s="6">
        <v>53.6</v>
      </c>
      <c r="L8" s="6">
        <v>86.7</v>
      </c>
      <c r="M8" s="91">
        <v>35.200000000000003</v>
      </c>
      <c r="O8" s="48" t="e">
        <f ca="1"/>
        <v>#NAME?</v>
      </c>
      <c r="P8" t="e">
        <f ca="1"/>
        <v>#NAME?</v>
      </c>
      <c r="Q8" s="49" t="e">
        <f ca="1"/>
        <v>#NAME?</v>
      </c>
      <c r="S8" t="e">
        <f ca="1">O4</f>
        <v>#NAME?</v>
      </c>
      <c r="T8">
        <f ca="1">COUNT(O5:O33)</f>
        <v>0</v>
      </c>
      <c r="U8" t="e">
        <f ca="1">SUM(O5:O33)</f>
        <v>#NAME?</v>
      </c>
      <c r="V8" t="e">
        <f ca="1">AVERAGE(O5:O33)</f>
        <v>#NAME?</v>
      </c>
      <c r="W8" t="e">
        <f ca="1">VAR(O5:O33)</f>
        <v>#NAME?</v>
      </c>
      <c r="X8" t="e">
        <f ca="1">DEVSQ(O5:O33)</f>
        <v>#NAME?</v>
      </c>
      <c r="Y8" t="e">
        <f ca="1">SQRT(V15/T8)</f>
        <v>#NAME?</v>
      </c>
      <c r="Z8" t="e">
        <f ca="1">V8-Y8*TINV(Y6,U15)</f>
        <v>#NAME?</v>
      </c>
      <c r="AA8" t="e">
        <f ca="1">V8+Y8*TINV(Y6,U15)</f>
        <v>#NAME?</v>
      </c>
      <c r="AC8" t="s">
        <v>120</v>
      </c>
      <c r="AD8" s="48" t="e">
        <f ca="1">[2]!RANK_SUM(O5:Q33, 1,1)</f>
        <v>#NAME?</v>
      </c>
      <c r="AE8" t="e">
        <f ca="1">[2]!RANK_SUM(O5:Q33, 2,1)</f>
        <v>#NAME?</v>
      </c>
      <c r="AF8" s="49" t="e">
        <f ca="1">[2]!RANK_SUM(O5:Q33, 3,1)</f>
        <v>#NAME?</v>
      </c>
      <c r="AI8" t="s">
        <v>128</v>
      </c>
      <c r="AJ8" s="57" t="e">
        <f ca="1">[2]!LEVENE(O5:Q33,1)</f>
        <v>#NAME?</v>
      </c>
      <c r="AL8" t="e">
        <f ca="1">Q4</f>
        <v>#NAME?</v>
      </c>
      <c r="AM8" s="60"/>
      <c r="AN8" t="e">
        <f ca="1">AVERAGE(Q5:Q33)</f>
        <v>#NAME?</v>
      </c>
      <c r="AO8">
        <f ca="1">COUNT(Q5:Q33)</f>
        <v>0</v>
      </c>
      <c r="AP8" t="e">
        <f ca="1">DEVSQ(Q5:Q33)</f>
        <v>#NAME?</v>
      </c>
      <c r="AW8" t="e">
        <f ca="1">Q4</f>
        <v>#NAME?</v>
      </c>
      <c r="AX8" s="60">
        <v>1</v>
      </c>
      <c r="AY8" t="e">
        <f ca="1">[2]!RANK_SUM(O5:Q33,3,1)/AZ8</f>
        <v>#NAME?</v>
      </c>
      <c r="AZ8">
        <f ca="1">COUNT(Q5:Q33)</f>
        <v>0</v>
      </c>
    </row>
    <row r="9" spans="1:54" x14ac:dyDescent="0.25">
      <c r="A9" s="5">
        <v>27</v>
      </c>
      <c r="B9" s="1" t="s">
        <v>93</v>
      </c>
      <c r="C9" s="6">
        <v>127.8</v>
      </c>
      <c r="D9" s="6">
        <v>103.7</v>
      </c>
      <c r="E9" s="6">
        <v>8.3000000000000007</v>
      </c>
      <c r="F9" s="6">
        <v>29.2</v>
      </c>
      <c r="G9" s="6">
        <v>11.9</v>
      </c>
      <c r="H9" s="6">
        <v>20.2</v>
      </c>
      <c r="I9" s="6">
        <v>96.4</v>
      </c>
      <c r="J9" s="6">
        <v>68.3</v>
      </c>
      <c r="K9" s="6">
        <v>45.9</v>
      </c>
      <c r="L9" s="6">
        <v>90.5</v>
      </c>
      <c r="M9" s="91">
        <v>29.6</v>
      </c>
      <c r="O9" s="48" t="e">
        <f ca="1"/>
        <v>#NAME?</v>
      </c>
      <c r="P9" t="e">
        <f ca="1"/>
        <v>#NAME?</v>
      </c>
      <c r="Q9" s="49" t="e">
        <f ca="1"/>
        <v>#NAME?</v>
      </c>
      <c r="S9" t="e">
        <f ca="1">P4</f>
        <v>#NAME?</v>
      </c>
      <c r="T9">
        <f ca="1">COUNT(P5:P33)</f>
        <v>0</v>
      </c>
      <c r="U9" t="e">
        <f ca="1">SUM(P5:P33)</f>
        <v>#NAME?</v>
      </c>
      <c r="V9" t="e">
        <f ca="1">AVERAGE(P5:P33)</f>
        <v>#NAME?</v>
      </c>
      <c r="W9" t="e">
        <f ca="1">VAR(P5:P33)</f>
        <v>#NAME?</v>
      </c>
      <c r="X9" t="e">
        <f ca="1">DEVSQ(P5:P33)</f>
        <v>#NAME?</v>
      </c>
      <c r="Y9" t="e">
        <f ca="1">SQRT(V15/T9)</f>
        <v>#NAME?</v>
      </c>
      <c r="Z9" t="e">
        <f ca="1">V9-Y9*TINV(Y6,U15)</f>
        <v>#NAME?</v>
      </c>
      <c r="AA9" t="e">
        <f ca="1">V9+Y9*TINV(Y6,U15)</f>
        <v>#NAME?</v>
      </c>
      <c r="AC9" t="s">
        <v>121</v>
      </c>
      <c r="AD9" s="48">
        <f ca="1">COUNT(O5:O33)</f>
        <v>0</v>
      </c>
      <c r="AE9">
        <f t="shared" ref="AE9:AF9" ca="1" si="2">COUNT(P5:P33)</f>
        <v>0</v>
      </c>
      <c r="AF9" s="49">
        <f t="shared" ca="1" si="2"/>
        <v>0</v>
      </c>
      <c r="AG9" s="56">
        <f ca="1">SUM(AD9:AF9)</f>
        <v>0</v>
      </c>
      <c r="AI9" t="s">
        <v>129</v>
      </c>
      <c r="AJ9" s="59" t="e">
        <f ca="1">[2]!LEVENE(O5:Q33,-1)</f>
        <v>#NAME?</v>
      </c>
      <c r="AL9" s="54"/>
      <c r="AM9" s="54">
        <f>SUM(AM6:AM8)</f>
        <v>0</v>
      </c>
      <c r="AN9" s="54" t="e">
        <f ca="1">SUMPRODUCT(AM6:AM8,AN6:AN8)</f>
        <v>#NAME?</v>
      </c>
      <c r="AO9" s="54">
        <f ca="1">SUM(AO6:AO8)</f>
        <v>0</v>
      </c>
      <c r="AP9" s="54" t="e">
        <f ca="1">SUM(AP6:AP8)</f>
        <v>#NAME?</v>
      </c>
      <c r="AW9" s="54"/>
      <c r="AX9" s="54">
        <f>SUM(AX6:AX8)</f>
        <v>0</v>
      </c>
      <c r="AY9" s="54" t="e">
        <f ca="1">SUMPRODUCT(AX6:AX8,AY6:AY8)</f>
        <v>#NAME?</v>
      </c>
      <c r="AZ9" s="54">
        <f ca="1">SUM(AZ6:AZ8)</f>
        <v>0</v>
      </c>
    </row>
    <row r="10" spans="1:54" ht="15.75" thickBot="1" x14ac:dyDescent="0.3">
      <c r="A10" s="5">
        <v>28</v>
      </c>
      <c r="B10" s="1" t="s">
        <v>93</v>
      </c>
      <c r="C10" s="6">
        <v>139.6</v>
      </c>
      <c r="D10" s="6">
        <v>83</v>
      </c>
      <c r="E10" s="6">
        <v>7.3</v>
      </c>
      <c r="F10" s="6">
        <v>13.4</v>
      </c>
      <c r="G10" s="6">
        <v>5.9</v>
      </c>
      <c r="H10" s="6">
        <v>13.3</v>
      </c>
      <c r="I10" s="6">
        <v>90.5</v>
      </c>
      <c r="J10" s="6">
        <v>51.6</v>
      </c>
      <c r="K10" s="6">
        <v>50.6</v>
      </c>
      <c r="L10" s="6">
        <v>85.5</v>
      </c>
      <c r="M10" s="91">
        <v>33.4</v>
      </c>
      <c r="O10" s="48" t="e">
        <f ca="1"/>
        <v>#NAME?</v>
      </c>
      <c r="P10" t="e">
        <f ca="1"/>
        <v>#NAME?</v>
      </c>
      <c r="Q10" s="49" t="e">
        <f ca="1"/>
        <v>#NAME?</v>
      </c>
      <c r="S10" t="e">
        <f ca="1">Q4</f>
        <v>#NAME?</v>
      </c>
      <c r="T10">
        <f ca="1">COUNT(Q5:Q33)</f>
        <v>0</v>
      </c>
      <c r="U10" t="e">
        <f ca="1">SUM(Q5:Q33)</f>
        <v>#NAME?</v>
      </c>
      <c r="V10" t="e">
        <f ca="1">AVERAGE(Q5:Q33)</f>
        <v>#NAME?</v>
      </c>
      <c r="W10" t="e">
        <f ca="1">VAR(Q5:Q33)</f>
        <v>#NAME?</v>
      </c>
      <c r="X10" t="e">
        <f ca="1">DEVSQ(Q5:Q33)</f>
        <v>#NAME?</v>
      </c>
      <c r="Y10" t="e">
        <f ca="1">SQRT(V15/T10)</f>
        <v>#NAME?</v>
      </c>
      <c r="Z10" t="e">
        <f ca="1">V10-Y10*TINV(Y6,U15)</f>
        <v>#NAME?</v>
      </c>
      <c r="AA10" t="e">
        <f ca="1">V10+Y10*TINV(Y6,U15)</f>
        <v>#NAME?</v>
      </c>
      <c r="AC10" t="s">
        <v>122</v>
      </c>
      <c r="AD10" s="50" t="e">
        <f ca="1">AD8^2/AD9</f>
        <v>#NAME?</v>
      </c>
      <c r="AE10" s="51" t="e">
        <f t="shared" ref="AE10:AF10" ca="1" si="3">AE8^2/AE9</f>
        <v>#NAME?</v>
      </c>
      <c r="AF10" s="52" t="e">
        <f t="shared" ca="1" si="3"/>
        <v>#NAME?</v>
      </c>
      <c r="AG10" s="57" t="e">
        <f ca="1">SUM(AD10:AF10)</f>
        <v>#NAME?</v>
      </c>
      <c r="AL10" t="s">
        <v>134</v>
      </c>
      <c r="AW10" t="s">
        <v>144</v>
      </c>
      <c r="BA10" s="43" t="s">
        <v>100</v>
      </c>
      <c r="BB10" s="43">
        <v>0.05</v>
      </c>
    </row>
    <row r="11" spans="1:54" ht="15.75" thickTop="1" x14ac:dyDescent="0.25">
      <c r="A11" s="5">
        <v>29</v>
      </c>
      <c r="B11" s="1" t="s">
        <v>93</v>
      </c>
      <c r="C11" s="6">
        <v>137.6</v>
      </c>
      <c r="D11" s="6">
        <v>87.1</v>
      </c>
      <c r="E11" s="6">
        <v>11.4</v>
      </c>
      <c r="F11" s="6">
        <v>30.1</v>
      </c>
      <c r="G11" s="6">
        <v>0</v>
      </c>
      <c r="H11" s="6">
        <v>11.4</v>
      </c>
      <c r="I11" s="6">
        <v>98.5</v>
      </c>
      <c r="J11" s="6">
        <v>57.8</v>
      </c>
      <c r="K11" s="6">
        <v>41.6</v>
      </c>
      <c r="L11" s="6">
        <v>94.2</v>
      </c>
      <c r="M11" s="91">
        <v>32.200000000000003</v>
      </c>
      <c r="O11" s="48" t="e">
        <f ca="1"/>
        <v>#NAME?</v>
      </c>
      <c r="P11" t="e">
        <f ca="1"/>
        <v>#NAME?</v>
      </c>
      <c r="Q11" s="49" t="e">
        <f ca="1"/>
        <v>#NAME?</v>
      </c>
      <c r="S11" s="54"/>
      <c r="T11" s="54"/>
      <c r="U11" s="54"/>
      <c r="V11" s="54"/>
      <c r="W11" s="54"/>
      <c r="X11" s="54"/>
      <c r="Y11" s="54"/>
      <c r="Z11" s="54"/>
      <c r="AA11" s="54"/>
      <c r="AC11" t="s">
        <v>123</v>
      </c>
      <c r="AG11" s="57" t="e">
        <f ca="1">12*AG10/(AG9*(AG9+1))-3*(AG9+1)</f>
        <v>#NAME?</v>
      </c>
      <c r="AL11" s="53" t="s">
        <v>135</v>
      </c>
      <c r="AM11" s="53" t="s">
        <v>136</v>
      </c>
      <c r="AN11" s="53" t="s">
        <v>109</v>
      </c>
      <c r="AO11" s="53" t="s">
        <v>67</v>
      </c>
      <c r="AP11" s="53" t="s">
        <v>137</v>
      </c>
      <c r="AQ11" s="53" t="s">
        <v>138</v>
      </c>
      <c r="AR11" s="53" t="s">
        <v>139</v>
      </c>
      <c r="AS11" s="53" t="s">
        <v>125</v>
      </c>
      <c r="AT11" s="53" t="s">
        <v>140</v>
      </c>
      <c r="AU11" s="53" t="s">
        <v>141</v>
      </c>
      <c r="AW11" s="53" t="s">
        <v>135</v>
      </c>
      <c r="AX11" s="53" t="s">
        <v>145</v>
      </c>
      <c r="AY11" s="53" t="s">
        <v>109</v>
      </c>
      <c r="AZ11" s="53" t="s">
        <v>67</v>
      </c>
      <c r="BA11" s="53" t="s">
        <v>146</v>
      </c>
      <c r="BB11" s="53" t="s">
        <v>125</v>
      </c>
    </row>
    <row r="12" spans="1:54" ht="15.75" thickBot="1" x14ac:dyDescent="0.3">
      <c r="A12" s="1">
        <v>1</v>
      </c>
      <c r="B12" s="1" t="s">
        <v>92</v>
      </c>
      <c r="C12" s="1">
        <v>117.9</v>
      </c>
      <c r="D12" s="1">
        <v>109.2</v>
      </c>
      <c r="E12" s="1">
        <v>3.8</v>
      </c>
      <c r="F12" s="1">
        <v>47.3</v>
      </c>
      <c r="G12" s="1">
        <v>4</v>
      </c>
      <c r="H12" s="1">
        <v>7.8</v>
      </c>
      <c r="I12" s="1">
        <v>103</v>
      </c>
      <c r="J12" s="1">
        <v>85.4</v>
      </c>
      <c r="K12" s="1">
        <v>40</v>
      </c>
      <c r="L12" s="1">
        <v>93.6</v>
      </c>
      <c r="M12" s="92">
        <v>19</v>
      </c>
      <c r="O12" s="48" t="e">
        <f ca="1"/>
        <v>#NAME?</v>
      </c>
      <c r="P12" t="e">
        <f ca="1"/>
        <v>#NAME?</v>
      </c>
      <c r="Q12" s="49" t="e">
        <f ca="1"/>
        <v>#NAME?</v>
      </c>
      <c r="S12" t="s">
        <v>107</v>
      </c>
      <c r="AC12" t="s">
        <v>124</v>
      </c>
      <c r="AG12" s="57" t="e">
        <f ca="1">AG11/(1-[2]!TiesCorrection(O5:Q33)/(58*(58^2-1)))</f>
        <v>#NAME?</v>
      </c>
      <c r="AL12" s="61" t="e">
        <f ca="1">SQRT(SUMPRODUCT(AM6:AM8^2,1/AO6:AO8)*AP9/AN12)</f>
        <v>#DIV/0!</v>
      </c>
      <c r="AM12" s="61" t="e">
        <f ca="1">AN9/AL12</f>
        <v>#NAME?</v>
      </c>
      <c r="AN12" s="61">
        <f ca="1">AO9-COUNT(AO6:AO8)</f>
        <v>-3</v>
      </c>
      <c r="AO12" s="61" t="e">
        <f ca="1">TDIST(ABS(AM12),AN12,2)</f>
        <v>#NAME?</v>
      </c>
      <c r="AP12" s="61" t="e">
        <f ca="1">TINV(AP4,AN12)</f>
        <v>#NUM!</v>
      </c>
      <c r="AQ12" s="61" t="e">
        <f ca="1">AN9-AL12*AP12</f>
        <v>#NAME?</v>
      </c>
      <c r="AR12" s="61" t="e">
        <f ca="1">AN9+AL12*AP12</f>
        <v>#NAME?</v>
      </c>
      <c r="AS12" s="62" t="e">
        <f ca="1">IF(AO12&lt;AP4,"yes","no")</f>
        <v>#NAME?</v>
      </c>
      <c r="AT12" s="61" t="e">
        <f ca="1">ABS(AN9)*SQRT(AN12/AP9)</f>
        <v>#NAME?</v>
      </c>
      <c r="AU12" s="61" t="e">
        <f ca="1">SQRT(AM12^2/(AM12^2+AN12))</f>
        <v>#NAME?</v>
      </c>
      <c r="AV12" s="43"/>
      <c r="AW12" s="61" t="e">
        <f ca="1">SQRT((AZ9*(AZ9+1)-[2]!TiesCorrection(O5:Q33)/(AZ9-1))/12*SUMPRODUCT(AX6:AX8^2,1/AZ6:AZ8))</f>
        <v>#NAME?</v>
      </c>
      <c r="AX12" s="61" t="e">
        <f ca="1">(AY9/AW12)^2</f>
        <v>#NAME?</v>
      </c>
      <c r="AY12" s="61">
        <f ca="1">COUNT(AZ6:AZ8)-1</f>
        <v>2</v>
      </c>
      <c r="AZ12" s="61" t="e">
        <f ca="1">CHIDIST(ABS(AX12),AY12)</f>
        <v>#NAME?</v>
      </c>
      <c r="BA12" s="61">
        <f ca="1">CHIINV(BB10,AY12)</f>
        <v>5.9914645471079817</v>
      </c>
      <c r="BB12" s="62" t="e">
        <f ca="1">IF(AZ12&lt;BB10,"yes","no")</f>
        <v>#NAME?</v>
      </c>
    </row>
    <row r="13" spans="1:54" ht="15.75" thickTop="1" x14ac:dyDescent="0.25">
      <c r="A13" s="1">
        <v>2</v>
      </c>
      <c r="B13" s="1" t="s">
        <v>92</v>
      </c>
      <c r="C13" s="1">
        <v>118.4</v>
      </c>
      <c r="D13" s="1">
        <v>106.3</v>
      </c>
      <c r="E13" s="1">
        <v>5.4</v>
      </c>
      <c r="F13" s="1">
        <v>46.8</v>
      </c>
      <c r="G13" s="1">
        <v>3.3</v>
      </c>
      <c r="H13" s="1">
        <v>8.6999999999999993</v>
      </c>
      <c r="I13" s="1">
        <v>98</v>
      </c>
      <c r="J13" s="1">
        <v>84.6</v>
      </c>
      <c r="K13" s="1">
        <v>43.3</v>
      </c>
      <c r="L13" s="1">
        <v>90.2</v>
      </c>
      <c r="M13" s="92">
        <v>20.3</v>
      </c>
      <c r="O13" s="48" t="e">
        <f ca="1"/>
        <v>#NAME?</v>
      </c>
      <c r="P13" t="e">
        <f ca="1"/>
        <v>#NAME?</v>
      </c>
      <c r="Q13" s="49" t="e">
        <f ca="1"/>
        <v>#NAME?</v>
      </c>
      <c r="S13" s="53" t="s">
        <v>108</v>
      </c>
      <c r="T13" s="53" t="s">
        <v>103</v>
      </c>
      <c r="U13" s="53" t="s">
        <v>109</v>
      </c>
      <c r="V13" s="53" t="s">
        <v>110</v>
      </c>
      <c r="W13" s="53" t="s">
        <v>46</v>
      </c>
      <c r="X13" s="53" t="s">
        <v>111</v>
      </c>
      <c r="Y13" s="53" t="s">
        <v>112</v>
      </c>
      <c r="Z13" s="53" t="s">
        <v>113</v>
      </c>
      <c r="AA13" s="53" t="s">
        <v>114</v>
      </c>
      <c r="AC13" t="s">
        <v>109</v>
      </c>
      <c r="AG13" s="57">
        <f ca="1">COUNTA(AD6:AF6)-1</f>
        <v>2</v>
      </c>
    </row>
    <row r="14" spans="1:54" x14ac:dyDescent="0.25">
      <c r="A14" s="1">
        <v>3</v>
      </c>
      <c r="B14" s="1" t="s">
        <v>92</v>
      </c>
      <c r="C14" s="1">
        <v>116.5</v>
      </c>
      <c r="D14" s="1">
        <v>112.3</v>
      </c>
      <c r="E14" s="1">
        <v>5.2</v>
      </c>
      <c r="F14" s="1">
        <v>49.5</v>
      </c>
      <c r="G14" s="1">
        <v>4.5999999999999996</v>
      </c>
      <c r="H14" s="1">
        <v>9.8000000000000007</v>
      </c>
      <c r="I14" s="1">
        <v>109.1</v>
      </c>
      <c r="J14" s="1">
        <v>84.3</v>
      </c>
      <c r="K14" s="1">
        <v>42.9</v>
      </c>
      <c r="L14" s="1">
        <v>95.6</v>
      </c>
      <c r="M14" s="92">
        <v>18.5</v>
      </c>
      <c r="O14" s="48" t="e">
        <f ca="1"/>
        <v>#NAME?</v>
      </c>
      <c r="P14" t="e">
        <f ca="1"/>
        <v>#NAME?</v>
      </c>
      <c r="Q14" s="49" t="e">
        <f ca="1"/>
        <v>#NAME?</v>
      </c>
      <c r="S14" t="s">
        <v>115</v>
      </c>
      <c r="T14" t="e">
        <f ca="1">T16-T15</f>
        <v>#NAME?</v>
      </c>
      <c r="U14">
        <f ca="1">COUNTA(S8:S10)-1</f>
        <v>2</v>
      </c>
      <c r="V14" t="e">
        <f ca="1">T14/U14</f>
        <v>#NAME?</v>
      </c>
      <c r="W14" t="e">
        <f ca="1">V14/V15</f>
        <v>#NAME?</v>
      </c>
      <c r="X14" t="e">
        <f ca="1">FDIST(W14,U14,U15)</f>
        <v>#NAME?</v>
      </c>
      <c r="Y14" t="e">
        <f ca="1">FINV(Y6,U14,U15)</f>
        <v>#NUM!</v>
      </c>
      <c r="Z14" t="e">
        <f ca="1">SQRT(DEVSQ(V8:V10)/(V15*U14))</f>
        <v>#NAME?</v>
      </c>
      <c r="AA14" t="e">
        <f ca="1">(T16-U16*V15)/(T16+V15)</f>
        <v>#NAME?</v>
      </c>
      <c r="AC14" t="s">
        <v>67</v>
      </c>
      <c r="AG14" s="57" t="e">
        <f ca="1">CHIDIST(AG12,AG13)</f>
        <v>#NAME?</v>
      </c>
      <c r="AX14">
        <v>7.0000000000000007E-2</v>
      </c>
    </row>
    <row r="15" spans="1:54" x14ac:dyDescent="0.25">
      <c r="A15" s="1">
        <v>4</v>
      </c>
      <c r="B15" s="1" t="s">
        <v>92</v>
      </c>
      <c r="C15" s="1">
        <v>117.2</v>
      </c>
      <c r="D15" s="1">
        <v>102.6</v>
      </c>
      <c r="E15" s="1">
        <v>6.3</v>
      </c>
      <c r="F15" s="1">
        <v>48.3</v>
      </c>
      <c r="G15" s="1">
        <v>3.1</v>
      </c>
      <c r="H15" s="1">
        <v>9.4</v>
      </c>
      <c r="I15" s="1">
        <v>99.7</v>
      </c>
      <c r="J15" s="1">
        <v>83.4</v>
      </c>
      <c r="K15" s="1">
        <v>41.1</v>
      </c>
      <c r="L15" s="1">
        <v>92.6</v>
      </c>
      <c r="M15" s="92">
        <v>19.7</v>
      </c>
      <c r="O15" s="48" t="e">
        <f ca="1"/>
        <v>#NAME?</v>
      </c>
      <c r="P15" t="e">
        <f ca="1"/>
        <v>#NAME?</v>
      </c>
      <c r="Q15" s="49" t="e">
        <f ca="1"/>
        <v>#NAME?</v>
      </c>
      <c r="S15" t="s">
        <v>116</v>
      </c>
      <c r="T15" t="e">
        <f ca="1">SUM(X8:X10)</f>
        <v>#NAME?</v>
      </c>
      <c r="U15">
        <f ca="1">U16-U14</f>
        <v>-3</v>
      </c>
      <c r="V15" t="e">
        <f ca="1">T15/U15</f>
        <v>#NAME?</v>
      </c>
      <c r="AC15" t="s">
        <v>96</v>
      </c>
      <c r="AG15" s="57">
        <v>0.05</v>
      </c>
      <c r="AX15">
        <v>5.0000000000000001E-3</v>
      </c>
    </row>
    <row r="16" spans="1:54" x14ac:dyDescent="0.25">
      <c r="A16" s="1">
        <v>5</v>
      </c>
      <c r="B16" s="1" t="s">
        <v>92</v>
      </c>
      <c r="C16" s="1">
        <v>117.4</v>
      </c>
      <c r="D16" s="1">
        <v>107.4</v>
      </c>
      <c r="E16" s="1">
        <v>6.8</v>
      </c>
      <c r="F16" s="1">
        <v>45.7</v>
      </c>
      <c r="G16" s="1">
        <v>2.9</v>
      </c>
      <c r="H16" s="1">
        <v>9.6999999999999993</v>
      </c>
      <c r="I16" s="1">
        <v>102.3</v>
      </c>
      <c r="J16" s="1">
        <v>81.8</v>
      </c>
      <c r="K16" s="1">
        <v>42.8</v>
      </c>
      <c r="L16" s="1">
        <v>93.4</v>
      </c>
      <c r="M16" s="92">
        <v>18.399999999999999</v>
      </c>
      <c r="O16" s="48" t="e">
        <f ca="1"/>
        <v>#NAME?</v>
      </c>
      <c r="P16" t="e">
        <f ca="1"/>
        <v>#NAME?</v>
      </c>
      <c r="Q16" s="49" t="e">
        <f ca="1"/>
        <v>#NAME?</v>
      </c>
      <c r="S16" s="55" t="s">
        <v>117</v>
      </c>
      <c r="T16" s="55" t="e">
        <f ca="1">DEVSQ(O5:Q33)</f>
        <v>#NAME?</v>
      </c>
      <c r="U16" s="55">
        <f ca="1">COUNT(O5:Q33)-1</f>
        <v>-1</v>
      </c>
      <c r="V16" s="55" t="e">
        <f ca="1">T16/U16</f>
        <v>#NAME?</v>
      </c>
      <c r="W16" s="55"/>
      <c r="X16" s="55"/>
      <c r="Y16" s="55"/>
      <c r="Z16" s="55"/>
      <c r="AA16" s="55"/>
      <c r="AC16" t="s">
        <v>125</v>
      </c>
      <c r="AG16" s="58" t="e">
        <f ca="1">IF(AG14&lt;AG15,"yes","no")</f>
        <v>#NAME?</v>
      </c>
      <c r="AX16" s="63">
        <v>2.1999999999999999E-5</v>
      </c>
    </row>
    <row r="17" spans="1:27" x14ac:dyDescent="0.25">
      <c r="A17" s="1">
        <v>6</v>
      </c>
      <c r="B17" s="1" t="s">
        <v>92</v>
      </c>
      <c r="C17" s="1">
        <v>116.8</v>
      </c>
      <c r="D17" s="1">
        <v>100.6</v>
      </c>
      <c r="E17" s="1">
        <v>5.9</v>
      </c>
      <c r="F17" s="1">
        <v>49</v>
      </c>
      <c r="G17" s="1">
        <v>3</v>
      </c>
      <c r="H17" s="1">
        <v>8.9</v>
      </c>
      <c r="I17" s="1">
        <v>103.5</v>
      </c>
      <c r="J17" s="1">
        <v>86.7</v>
      </c>
      <c r="K17" s="1">
        <v>44.5</v>
      </c>
      <c r="L17" s="1">
        <v>92.2</v>
      </c>
      <c r="M17" s="92">
        <v>17.600000000000001</v>
      </c>
      <c r="O17" s="48" t="e">
        <f ca="1"/>
        <v>#NAME?</v>
      </c>
      <c r="P17" t="e">
        <f ca="1"/>
        <v>#NAME?</v>
      </c>
      <c r="Q17" s="49" t="e">
        <f ca="1"/>
        <v>#NAME?</v>
      </c>
    </row>
    <row r="18" spans="1:27" x14ac:dyDescent="0.25">
      <c r="A18" s="1">
        <v>7</v>
      </c>
      <c r="B18" s="1" t="s">
        <v>92</v>
      </c>
      <c r="C18" s="1">
        <v>119.1</v>
      </c>
      <c r="D18" s="1">
        <v>98.7</v>
      </c>
      <c r="E18" s="1">
        <v>6.9</v>
      </c>
      <c r="F18" s="1">
        <v>46.5</v>
      </c>
      <c r="G18" s="1">
        <v>3.6</v>
      </c>
      <c r="H18" s="1">
        <v>10.5</v>
      </c>
      <c r="I18" s="1">
        <v>92.5</v>
      </c>
      <c r="J18" s="1">
        <v>80.599999999999994</v>
      </c>
      <c r="K18" s="1">
        <v>47.1</v>
      </c>
      <c r="L18" s="1">
        <v>89.6</v>
      </c>
      <c r="M18" s="92">
        <v>20.100000000000001</v>
      </c>
      <c r="O18" s="48" t="e">
        <f ca="1"/>
        <v>#NAME?</v>
      </c>
      <c r="P18" t="e">
        <f ca="1"/>
        <v>#NAME?</v>
      </c>
      <c r="Q18" s="49" t="e">
        <f ca="1"/>
        <v>#NAME?</v>
      </c>
    </row>
    <row r="19" spans="1:27" x14ac:dyDescent="0.25">
      <c r="A19" s="1">
        <v>8</v>
      </c>
      <c r="B19" s="1" t="s">
        <v>92</v>
      </c>
      <c r="C19" s="1">
        <v>118.9</v>
      </c>
      <c r="D19" s="1">
        <v>99.8</v>
      </c>
      <c r="E19" s="1">
        <v>6.3</v>
      </c>
      <c r="F19" s="1">
        <v>47.1</v>
      </c>
      <c r="G19" s="1">
        <v>2.9</v>
      </c>
      <c r="H19" s="1">
        <v>9.1999999999999993</v>
      </c>
      <c r="I19" s="1">
        <v>93.2</v>
      </c>
      <c r="J19" s="1">
        <v>81.099999999999994</v>
      </c>
      <c r="K19" s="1">
        <v>46.4</v>
      </c>
      <c r="L19" s="1">
        <v>90.8</v>
      </c>
      <c r="M19" s="92">
        <v>19.399999999999999</v>
      </c>
      <c r="O19" s="48" t="e">
        <f ca="1"/>
        <v>#NAME?</v>
      </c>
      <c r="P19" t="e">
        <f ca="1"/>
        <v>#NAME?</v>
      </c>
      <c r="Q19" s="49" t="e">
        <f ca="1"/>
        <v>#NAME?</v>
      </c>
    </row>
    <row r="20" spans="1:27" x14ac:dyDescent="0.25">
      <c r="A20" s="1">
        <v>9</v>
      </c>
      <c r="B20" s="1" t="s">
        <v>92</v>
      </c>
      <c r="C20" s="1">
        <v>118.4</v>
      </c>
      <c r="D20" s="1">
        <v>101.4</v>
      </c>
      <c r="E20" s="1">
        <v>6.2</v>
      </c>
      <c r="F20" s="1">
        <v>47.5</v>
      </c>
      <c r="G20" s="1">
        <v>3.2</v>
      </c>
      <c r="H20" s="1">
        <v>9.4</v>
      </c>
      <c r="I20" s="1">
        <v>95.4</v>
      </c>
      <c r="J20" s="1">
        <v>82.4</v>
      </c>
      <c r="K20" s="1">
        <v>45.3</v>
      </c>
      <c r="L20" s="1">
        <v>92.1</v>
      </c>
      <c r="M20" s="92">
        <v>18.899999999999999</v>
      </c>
      <c r="O20" s="48" t="e">
        <f ca="1"/>
        <v>#NAME?</v>
      </c>
      <c r="P20" t="e">
        <f ca="1"/>
        <v>#NAME?</v>
      </c>
      <c r="Q20" s="49" t="e">
        <f ca="1"/>
        <v>#NAME?</v>
      </c>
      <c r="S20" t="s">
        <v>69</v>
      </c>
    </row>
    <row r="21" spans="1:27" x14ac:dyDescent="0.25">
      <c r="A21" s="1">
        <v>10</v>
      </c>
      <c r="B21" s="1" t="s">
        <v>92</v>
      </c>
      <c r="C21" s="1">
        <v>121.9</v>
      </c>
      <c r="D21" s="1">
        <v>109.4</v>
      </c>
      <c r="E21" s="1">
        <v>4.0999999999999996</v>
      </c>
      <c r="F21" s="1">
        <v>49.2</v>
      </c>
      <c r="G21" s="1">
        <v>3.2</v>
      </c>
      <c r="H21" s="1">
        <v>7.3</v>
      </c>
      <c r="I21" s="1">
        <v>109.9</v>
      </c>
      <c r="J21" s="1">
        <v>87.8</v>
      </c>
      <c r="K21" s="1">
        <v>42.2</v>
      </c>
      <c r="L21" s="1">
        <v>95.2</v>
      </c>
      <c r="M21" s="92">
        <v>18.8</v>
      </c>
      <c r="O21" s="48" t="e">
        <f ca="1"/>
        <v>#NAME?</v>
      </c>
      <c r="P21" t="e">
        <f ca="1"/>
        <v>#NAME?</v>
      </c>
      <c r="Q21" s="49" t="e">
        <f ca="1"/>
        <v>#NAME?</v>
      </c>
    </row>
    <row r="22" spans="1:27" x14ac:dyDescent="0.25">
      <c r="A22" s="1">
        <v>11</v>
      </c>
      <c r="B22" s="1" t="s">
        <v>92</v>
      </c>
      <c r="C22" s="1">
        <v>116.3</v>
      </c>
      <c r="D22" s="1">
        <v>112.3</v>
      </c>
      <c r="E22" s="1">
        <v>3.5</v>
      </c>
      <c r="F22" s="1">
        <v>50.7</v>
      </c>
      <c r="G22" s="1">
        <v>3.3</v>
      </c>
      <c r="H22" s="1">
        <v>6.8</v>
      </c>
      <c r="I22" s="1">
        <v>110.8</v>
      </c>
      <c r="J22" s="1">
        <v>88.3</v>
      </c>
      <c r="K22" s="1">
        <v>43.3</v>
      </c>
      <c r="L22" s="1">
        <v>97.4</v>
      </c>
      <c r="M22" s="92">
        <v>18.5</v>
      </c>
      <c r="O22" s="48" t="e">
        <f ca="1"/>
        <v>#NAME?</v>
      </c>
      <c r="P22" t="e">
        <f ca="1"/>
        <v>#NAME?</v>
      </c>
      <c r="Q22" s="49" t="e">
        <f ca="1"/>
        <v>#NAME?</v>
      </c>
    </row>
    <row r="23" spans="1:27" ht="15.75" thickBot="1" x14ac:dyDescent="0.3">
      <c r="A23" s="1">
        <v>12</v>
      </c>
      <c r="B23" s="1" t="s">
        <v>92</v>
      </c>
      <c r="C23" s="1">
        <v>118.6</v>
      </c>
      <c r="D23" s="1">
        <v>98.3</v>
      </c>
      <c r="E23" s="1">
        <v>5.7</v>
      </c>
      <c r="F23" s="1">
        <v>46.5</v>
      </c>
      <c r="G23" s="1">
        <v>4.9000000000000004</v>
      </c>
      <c r="H23" s="1">
        <v>10.6</v>
      </c>
      <c r="I23" s="1">
        <v>93.2</v>
      </c>
      <c r="J23" s="1">
        <v>81.400000000000006</v>
      </c>
      <c r="K23" s="1">
        <v>46.9</v>
      </c>
      <c r="L23" s="1">
        <v>91.3</v>
      </c>
      <c r="M23" s="92">
        <v>19.100000000000001</v>
      </c>
      <c r="O23" s="48" t="e">
        <f ca="1"/>
        <v>#NAME?</v>
      </c>
      <c r="P23" t="e">
        <f ca="1"/>
        <v>#NAME?</v>
      </c>
      <c r="Q23" s="49" t="e">
        <f ca="1"/>
        <v>#NAME?</v>
      </c>
      <c r="S23" s="65"/>
      <c r="T23" s="65"/>
      <c r="U23" s="65" t="s">
        <v>62</v>
      </c>
      <c r="V23" s="65" t="s">
        <v>64</v>
      </c>
      <c r="W23" s="65" t="s">
        <v>66</v>
      </c>
      <c r="X23" s="65" t="s">
        <v>70</v>
      </c>
      <c r="Y23" s="65" t="s">
        <v>71</v>
      </c>
      <c r="Z23" s="66" t="s">
        <v>93</v>
      </c>
      <c r="AA23" s="67" t="s">
        <v>92</v>
      </c>
    </row>
    <row r="24" spans="1:27" ht="15" customHeight="1" x14ac:dyDescent="0.25">
      <c r="A24" s="1">
        <v>13</v>
      </c>
      <c r="B24" s="1" t="s">
        <v>92</v>
      </c>
      <c r="C24" s="1">
        <v>119.2</v>
      </c>
      <c r="D24" s="1">
        <v>95.4</v>
      </c>
      <c r="E24" s="1">
        <v>6.2</v>
      </c>
      <c r="F24" s="1">
        <v>45.9</v>
      </c>
      <c r="G24" s="1">
        <v>3.6</v>
      </c>
      <c r="H24" s="1">
        <v>9.8000000000000007</v>
      </c>
      <c r="I24" s="1">
        <v>92.5</v>
      </c>
      <c r="J24" s="1">
        <v>82.1</v>
      </c>
      <c r="K24" s="1">
        <v>47.3</v>
      </c>
      <c r="L24" s="1">
        <v>89.9</v>
      </c>
      <c r="M24" s="92">
        <v>19.8</v>
      </c>
      <c r="O24" s="48" t="e">
        <f ca="1"/>
        <v>#NAME?</v>
      </c>
      <c r="P24" t="e">
        <f ca="1"/>
        <v>#NAME?</v>
      </c>
      <c r="Q24" s="49" t="e">
        <f ca="1"/>
        <v>#NAME?</v>
      </c>
      <c r="S24" s="257" t="s">
        <v>72</v>
      </c>
      <c r="T24" s="68" t="s">
        <v>58</v>
      </c>
      <c r="U24" s="69">
        <v>25.951724137931034</v>
      </c>
      <c r="V24" s="42">
        <v>24.3</v>
      </c>
      <c r="W24" s="70">
        <v>2.0999999999999999E-5</v>
      </c>
      <c r="X24" s="260">
        <v>2.0000000000000001E-4</v>
      </c>
      <c r="Y24" s="260">
        <v>6.0099999999999997E-9</v>
      </c>
      <c r="Z24" s="71">
        <v>0.1</v>
      </c>
      <c r="AA24" s="72">
        <v>1.1E-5</v>
      </c>
    </row>
    <row r="25" spans="1:27" x14ac:dyDescent="0.25">
      <c r="A25" s="1">
        <v>14</v>
      </c>
      <c r="B25" s="1" t="s">
        <v>92</v>
      </c>
      <c r="C25" s="1">
        <v>118.9</v>
      </c>
      <c r="D25" s="1">
        <v>99.8</v>
      </c>
      <c r="E25" s="1">
        <v>6.7</v>
      </c>
      <c r="F25" s="1">
        <v>47.1</v>
      </c>
      <c r="G25" s="1">
        <v>2.7</v>
      </c>
      <c r="H25" s="1">
        <v>9.4</v>
      </c>
      <c r="I25" s="1">
        <v>94.1</v>
      </c>
      <c r="J25" s="1">
        <v>81.900000000000006</v>
      </c>
      <c r="K25" s="1">
        <v>46.8</v>
      </c>
      <c r="L25" s="1">
        <v>88.6</v>
      </c>
      <c r="M25" s="92">
        <v>19.7</v>
      </c>
      <c r="O25" s="48" t="e">
        <f ca="1"/>
        <v>#NAME?</v>
      </c>
      <c r="P25" t="e">
        <f ca="1"/>
        <v>#NAME?</v>
      </c>
      <c r="Q25" s="49" t="e">
        <f ca="1"/>
        <v>#NAME?</v>
      </c>
      <c r="S25" s="258"/>
      <c r="T25" s="66" t="s">
        <v>93</v>
      </c>
      <c r="U25" s="73">
        <v>32.39</v>
      </c>
      <c r="V25" s="42">
        <v>32.299999999999997</v>
      </c>
      <c r="W25" s="42">
        <v>0.98899999999999999</v>
      </c>
      <c r="X25" s="261"/>
      <c r="Y25" s="263"/>
      <c r="Z25" s="74"/>
      <c r="AA25" s="75">
        <v>1.3E-7</v>
      </c>
    </row>
    <row r="26" spans="1:27" ht="15.75" thickBot="1" x14ac:dyDescent="0.3">
      <c r="A26" s="1">
        <v>15</v>
      </c>
      <c r="B26" s="1" t="s">
        <v>92</v>
      </c>
      <c r="C26" s="1">
        <v>127.4</v>
      </c>
      <c r="D26" s="1">
        <v>105.4</v>
      </c>
      <c r="E26" s="1">
        <v>5.0999999999999996</v>
      </c>
      <c r="F26" s="1">
        <v>48.3</v>
      </c>
      <c r="G26" s="1">
        <v>3.2</v>
      </c>
      <c r="H26" s="1">
        <v>8.3000000000000007</v>
      </c>
      <c r="I26" s="1">
        <v>104.5</v>
      </c>
      <c r="J26" s="1">
        <v>86.3</v>
      </c>
      <c r="K26" s="1">
        <v>41.3</v>
      </c>
      <c r="L26" s="1">
        <v>94.3</v>
      </c>
      <c r="M26" s="92">
        <v>18.2</v>
      </c>
      <c r="O26" s="48" t="e">
        <f ca="1"/>
        <v>#NAME?</v>
      </c>
      <c r="P26" t="e">
        <f ca="1"/>
        <v>#NAME?</v>
      </c>
      <c r="Q26" s="49" t="e">
        <f ca="1"/>
        <v>#NAME?</v>
      </c>
      <c r="S26" s="259"/>
      <c r="T26" s="67" t="s">
        <v>92</v>
      </c>
      <c r="U26" s="76">
        <v>19.078947368421051</v>
      </c>
      <c r="V26" s="42">
        <v>19</v>
      </c>
      <c r="W26" s="42">
        <v>0.67700000000000005</v>
      </c>
      <c r="X26" s="262"/>
      <c r="Y26" s="264"/>
      <c r="Z26" s="77"/>
      <c r="AA26" s="78" t="s">
        <v>73</v>
      </c>
    </row>
    <row r="27" spans="1:27" ht="15" customHeight="1" x14ac:dyDescent="0.25">
      <c r="A27" s="1">
        <v>16</v>
      </c>
      <c r="B27" s="1" t="s">
        <v>92</v>
      </c>
      <c r="C27" s="1">
        <v>119.3</v>
      </c>
      <c r="D27" s="1">
        <v>110.4</v>
      </c>
      <c r="E27" s="1">
        <v>5.3</v>
      </c>
      <c r="F27" s="1">
        <v>49.2</v>
      </c>
      <c r="G27" s="1">
        <v>3.8</v>
      </c>
      <c r="H27" s="1">
        <v>9.1</v>
      </c>
      <c r="I27" s="1">
        <v>102.6</v>
      </c>
      <c r="J27" s="1">
        <v>83.2</v>
      </c>
      <c r="K27" s="1">
        <v>41.5</v>
      </c>
      <c r="L27" s="1">
        <v>101.4</v>
      </c>
      <c r="M27" s="92">
        <v>18.7</v>
      </c>
      <c r="O27" s="48" t="e">
        <f ca="1"/>
        <v>#NAME?</v>
      </c>
      <c r="P27" t="e">
        <f ca="1"/>
        <v>#NAME?</v>
      </c>
      <c r="Q27" s="49" t="e">
        <f ca="1"/>
        <v>#NAME?</v>
      </c>
      <c r="S27" s="265" t="s">
        <v>74</v>
      </c>
      <c r="T27" s="68" t="s">
        <v>58</v>
      </c>
      <c r="U27" s="69">
        <v>91.810344827586206</v>
      </c>
      <c r="V27" s="79">
        <v>92.8</v>
      </c>
      <c r="W27" s="42">
        <v>0.10433139106099398</v>
      </c>
      <c r="X27" s="268">
        <v>0.46</v>
      </c>
      <c r="Y27" s="268">
        <v>0.54</v>
      </c>
      <c r="Z27" s="80">
        <v>0.83</v>
      </c>
      <c r="AA27" s="81">
        <v>0.27</v>
      </c>
    </row>
    <row r="28" spans="1:27" x14ac:dyDescent="0.25">
      <c r="A28" s="1">
        <v>17</v>
      </c>
      <c r="B28" s="1" t="s">
        <v>92</v>
      </c>
      <c r="C28" s="1">
        <v>118.9</v>
      </c>
      <c r="D28" s="1">
        <v>83.7</v>
      </c>
      <c r="E28" s="1">
        <v>6.7</v>
      </c>
      <c r="F28" s="1">
        <v>46.3</v>
      </c>
      <c r="G28" s="1">
        <v>3</v>
      </c>
      <c r="H28" s="1">
        <v>9.6999999999999993</v>
      </c>
      <c r="I28" s="1">
        <v>86.7</v>
      </c>
      <c r="J28" s="1">
        <v>78.3</v>
      </c>
      <c r="K28" s="1">
        <v>45</v>
      </c>
      <c r="L28" s="1">
        <v>88.7</v>
      </c>
      <c r="M28" s="92">
        <v>20</v>
      </c>
      <c r="O28" s="48" t="e">
        <f ca="1"/>
        <v>#NAME?</v>
      </c>
      <c r="P28" t="e">
        <f ca="1"/>
        <v>#NAME?</v>
      </c>
      <c r="Q28" s="49" t="e">
        <f ca="1"/>
        <v>#NAME?</v>
      </c>
      <c r="S28" s="266"/>
      <c r="T28" s="66" t="s">
        <v>93</v>
      </c>
      <c r="U28" s="73">
        <v>92.140000000000015</v>
      </c>
      <c r="V28" s="82">
        <v>91.9</v>
      </c>
      <c r="W28" s="42">
        <v>0.66150766932730776</v>
      </c>
      <c r="X28" s="263"/>
      <c r="Y28" s="263"/>
      <c r="Z28" s="74"/>
      <c r="AA28" s="83">
        <v>0.53</v>
      </c>
    </row>
    <row r="29" spans="1:27" ht="15.75" thickBot="1" x14ac:dyDescent="0.3">
      <c r="A29" s="1">
        <v>18</v>
      </c>
      <c r="B29" s="1" t="s">
        <v>92</v>
      </c>
      <c r="C29" s="1">
        <v>117.4</v>
      </c>
      <c r="D29" s="1">
        <v>109.1</v>
      </c>
      <c r="E29" s="1">
        <v>4.3</v>
      </c>
      <c r="F29" s="1">
        <v>47.6</v>
      </c>
      <c r="G29" s="1">
        <v>3.1</v>
      </c>
      <c r="H29" s="1">
        <v>7.4</v>
      </c>
      <c r="I29" s="1">
        <v>102.6</v>
      </c>
      <c r="J29" s="1">
        <v>85.9</v>
      </c>
      <c r="K29" s="1">
        <v>40.5</v>
      </c>
      <c r="L29" s="1">
        <v>94.1</v>
      </c>
      <c r="M29" s="92">
        <v>19.7</v>
      </c>
      <c r="O29" s="48" t="e">
        <f ca="1"/>
        <v>#NAME?</v>
      </c>
      <c r="P29" t="e">
        <f ca="1"/>
        <v>#NAME?</v>
      </c>
      <c r="Q29" s="49" t="e">
        <f ca="1"/>
        <v>#NAME?</v>
      </c>
      <c r="S29" s="267"/>
      <c r="T29" s="67" t="s">
        <v>92</v>
      </c>
      <c r="U29" s="76">
        <v>93.184210526315795</v>
      </c>
      <c r="V29" s="84">
        <v>92.6</v>
      </c>
      <c r="W29" s="42">
        <v>0.2645090198898763</v>
      </c>
      <c r="X29" s="264"/>
      <c r="Y29" s="264"/>
      <c r="Z29" s="77"/>
      <c r="AA29" s="78"/>
    </row>
    <row r="30" spans="1:27" ht="15" customHeight="1" x14ac:dyDescent="0.25">
      <c r="A30" s="1">
        <v>19</v>
      </c>
      <c r="B30" s="1" t="s">
        <v>92</v>
      </c>
      <c r="C30" s="1">
        <v>119.4</v>
      </c>
      <c r="D30" s="1">
        <v>110.4</v>
      </c>
      <c r="E30" s="1">
        <v>5.4</v>
      </c>
      <c r="F30" s="1">
        <v>48.4</v>
      </c>
      <c r="G30" s="1">
        <v>3.5</v>
      </c>
      <c r="H30" s="1">
        <v>8.9</v>
      </c>
      <c r="I30" s="1">
        <v>95.3</v>
      </c>
      <c r="J30" s="1">
        <v>84.3</v>
      </c>
      <c r="K30" s="1">
        <v>41.3</v>
      </c>
      <c r="L30" s="1">
        <v>99.5</v>
      </c>
      <c r="M30" s="92">
        <v>18.100000000000001</v>
      </c>
      <c r="O30" s="48" t="e">
        <f ca="1"/>
        <v>#NAME?</v>
      </c>
      <c r="P30" t="e">
        <f ca="1"/>
        <v>#NAME?</v>
      </c>
      <c r="Q30" s="49" t="e">
        <f ca="1"/>
        <v>#NAME?</v>
      </c>
      <c r="S30" s="265" t="s">
        <v>75</v>
      </c>
      <c r="T30" s="68" t="s">
        <v>58</v>
      </c>
      <c r="U30" s="69">
        <v>44.393103448275873</v>
      </c>
      <c r="V30" s="79">
        <v>44.2</v>
      </c>
      <c r="W30" s="42">
        <v>0.56568414828961255</v>
      </c>
      <c r="X30" s="268">
        <v>0.51900000000000002</v>
      </c>
      <c r="Y30" s="269">
        <v>0.432</v>
      </c>
      <c r="Z30" s="71">
        <v>0.47799999999999998</v>
      </c>
      <c r="AA30" s="85">
        <v>0.42199999999999999</v>
      </c>
    </row>
    <row r="31" spans="1:27" x14ac:dyDescent="0.25">
      <c r="A31" s="1">
        <v>1</v>
      </c>
      <c r="B31" s="1" t="s">
        <v>58</v>
      </c>
      <c r="C31" s="34">
        <v>129.6</v>
      </c>
      <c r="D31" s="34">
        <v>66.8</v>
      </c>
      <c r="E31" s="34">
        <v>9.3000000000000007</v>
      </c>
      <c r="F31" s="34">
        <v>29.3</v>
      </c>
      <c r="G31" s="34">
        <v>9.1999999999999993</v>
      </c>
      <c r="H31" s="34">
        <v>18.5</v>
      </c>
      <c r="I31" s="35">
        <v>84.5</v>
      </c>
      <c r="J31" s="34">
        <v>76.3</v>
      </c>
      <c r="K31" s="34">
        <v>40.9</v>
      </c>
      <c r="L31" s="34">
        <v>89.1</v>
      </c>
      <c r="M31" s="93">
        <v>26</v>
      </c>
      <c r="O31" s="48" t="e">
        <f ca="1"/>
        <v>#NAME?</v>
      </c>
      <c r="P31" t="e">
        <f ca="1"/>
        <v>#NAME?</v>
      </c>
      <c r="Q31" s="49" t="e">
        <f ca="1"/>
        <v>#NAME?</v>
      </c>
      <c r="S31" s="266"/>
      <c r="T31" s="66" t="s">
        <v>93</v>
      </c>
      <c r="U31" s="73">
        <v>45.2</v>
      </c>
      <c r="V31" s="82">
        <v>44.099999999999994</v>
      </c>
      <c r="W31" s="42">
        <v>8.6351637615949994E-2</v>
      </c>
      <c r="X31" s="263"/>
      <c r="Y31" s="270"/>
      <c r="Z31" s="86"/>
      <c r="AA31" s="87">
        <v>0.20499999999999999</v>
      </c>
    </row>
    <row r="32" spans="1:27" ht="15.75" thickBot="1" x14ac:dyDescent="0.3">
      <c r="A32" s="1">
        <v>2</v>
      </c>
      <c r="B32" s="1" t="s">
        <v>58</v>
      </c>
      <c r="C32" s="34">
        <v>123.4</v>
      </c>
      <c r="D32" s="34">
        <v>50.8</v>
      </c>
      <c r="E32" s="34">
        <v>8.5</v>
      </c>
      <c r="F32" s="34">
        <v>40.799999999999997</v>
      </c>
      <c r="G32" s="34">
        <v>10.9</v>
      </c>
      <c r="H32" s="34">
        <v>19.5</v>
      </c>
      <c r="I32" s="35">
        <v>80.7</v>
      </c>
      <c r="J32" s="34">
        <v>69.7</v>
      </c>
      <c r="K32" s="34">
        <v>46.4</v>
      </c>
      <c r="L32" s="34">
        <v>94.9</v>
      </c>
      <c r="M32" s="93">
        <v>24.2</v>
      </c>
      <c r="O32" s="48" t="e">
        <f ca="1"/>
        <v>#NAME?</v>
      </c>
      <c r="P32" t="e">
        <f ca="1"/>
        <v>#NAME?</v>
      </c>
      <c r="Q32" s="49" t="e">
        <f ca="1"/>
        <v>#NAME?</v>
      </c>
      <c r="S32" s="267"/>
      <c r="T32" s="67" t="s">
        <v>92</v>
      </c>
      <c r="U32" s="76">
        <v>43.657894736842096</v>
      </c>
      <c r="V32" s="84">
        <v>43.3</v>
      </c>
      <c r="W32" s="42">
        <v>0.12101359401586531</v>
      </c>
      <c r="X32" s="264"/>
      <c r="Y32" s="271"/>
      <c r="Z32" s="88"/>
      <c r="AA32" s="89"/>
    </row>
    <row r="33" spans="1:29" ht="15" customHeight="1" x14ac:dyDescent="0.25">
      <c r="A33" s="1">
        <v>3</v>
      </c>
      <c r="B33" s="1" t="s">
        <v>58</v>
      </c>
      <c r="C33" s="34">
        <v>115.7</v>
      </c>
      <c r="D33" s="34">
        <v>72.099999999999994</v>
      </c>
      <c r="E33" s="34">
        <v>8.8000000000000007</v>
      </c>
      <c r="F33" s="34">
        <v>39.6</v>
      </c>
      <c r="G33" s="34">
        <v>3.7</v>
      </c>
      <c r="H33" s="34">
        <v>12.5</v>
      </c>
      <c r="I33" s="34">
        <v>80.900000000000006</v>
      </c>
      <c r="J33" s="34">
        <v>73.2</v>
      </c>
      <c r="K33" s="34">
        <v>43.4</v>
      </c>
      <c r="L33" s="34">
        <v>92.8</v>
      </c>
      <c r="M33" s="93">
        <v>20.6</v>
      </c>
      <c r="O33" s="50" t="e">
        <f ca="1"/>
        <v>#NAME?</v>
      </c>
      <c r="P33" s="51" t="e">
        <f ca="1"/>
        <v>#NAME?</v>
      </c>
      <c r="Q33" s="52" t="e">
        <f ca="1"/>
        <v>#NAME?</v>
      </c>
      <c r="S33" s="272" t="s">
        <v>76</v>
      </c>
      <c r="T33" s="68" t="s">
        <v>147</v>
      </c>
      <c r="U33" s="69">
        <v>70.186206896551724</v>
      </c>
      <c r="V33" s="79">
        <v>69.900000000000006</v>
      </c>
      <c r="W33" s="69">
        <v>0.64780250013135121</v>
      </c>
      <c r="X33" s="268">
        <v>0.13200000000000001</v>
      </c>
      <c r="Y33" s="260">
        <v>1.0999999999999999E-9</v>
      </c>
      <c r="Z33" s="96">
        <v>1.04E-7</v>
      </c>
      <c r="AA33" s="72">
        <v>5.6000000000000003E-15</v>
      </c>
    </row>
    <row r="34" spans="1:29" x14ac:dyDescent="0.25">
      <c r="A34" s="1">
        <v>4</v>
      </c>
      <c r="B34" s="1" t="s">
        <v>58</v>
      </c>
      <c r="C34" s="34">
        <v>126.3</v>
      </c>
      <c r="D34" s="34">
        <v>42.5</v>
      </c>
      <c r="E34" s="34">
        <v>4.5</v>
      </c>
      <c r="F34" s="34">
        <v>36.200000000000003</v>
      </c>
      <c r="G34" s="34">
        <v>2.8</v>
      </c>
      <c r="H34" s="34">
        <v>7.3</v>
      </c>
      <c r="I34" s="34">
        <v>84.9</v>
      </c>
      <c r="J34" s="34">
        <v>67.599999999999994</v>
      </c>
      <c r="K34" s="34">
        <v>40</v>
      </c>
      <c r="L34" s="34">
        <v>98.1</v>
      </c>
      <c r="M34" s="93">
        <v>24.7</v>
      </c>
      <c r="S34" s="273"/>
      <c r="T34" s="66" t="s">
        <v>150</v>
      </c>
      <c r="U34" s="73">
        <v>60.559999999999988</v>
      </c>
      <c r="V34" s="82">
        <v>60.2</v>
      </c>
      <c r="W34" s="73">
        <v>0.89664314624600816</v>
      </c>
      <c r="X34" s="263"/>
      <c r="Y34" s="263"/>
      <c r="Z34" s="74"/>
      <c r="AA34" s="75">
        <v>1.7000000000000001E-19</v>
      </c>
    </row>
    <row r="35" spans="1:29" ht="15.75" thickBot="1" x14ac:dyDescent="0.3">
      <c r="A35" s="1">
        <v>5</v>
      </c>
      <c r="B35" s="1" t="s">
        <v>58</v>
      </c>
      <c r="C35" s="34">
        <v>123.3</v>
      </c>
      <c r="D35" s="34">
        <v>67.400000000000006</v>
      </c>
      <c r="E35" s="34">
        <v>9.3000000000000007</v>
      </c>
      <c r="F35" s="34">
        <v>36.1</v>
      </c>
      <c r="G35" s="34">
        <v>0.8</v>
      </c>
      <c r="H35" s="34">
        <v>10.1</v>
      </c>
      <c r="I35" s="34">
        <v>85.5</v>
      </c>
      <c r="J35" s="34">
        <v>66.8</v>
      </c>
      <c r="K35" s="34">
        <v>44.9</v>
      </c>
      <c r="L35" s="34">
        <v>93.3</v>
      </c>
      <c r="M35" s="93">
        <v>24.7</v>
      </c>
      <c r="S35" s="274"/>
      <c r="T35" s="67" t="s">
        <v>151</v>
      </c>
      <c r="U35" s="76">
        <v>83.673684210526318</v>
      </c>
      <c r="V35" s="84">
        <v>83.4</v>
      </c>
      <c r="W35" s="76">
        <v>0.94203101194892769</v>
      </c>
      <c r="X35" s="264"/>
      <c r="Y35" s="264"/>
      <c r="Z35" s="77"/>
      <c r="AA35" s="78"/>
    </row>
    <row r="36" spans="1:29" ht="15" customHeight="1" x14ac:dyDescent="0.25">
      <c r="A36" s="1">
        <v>6</v>
      </c>
      <c r="B36" s="1" t="s">
        <v>58</v>
      </c>
      <c r="C36" s="34">
        <v>126.4</v>
      </c>
      <c r="D36" s="34">
        <v>52.5</v>
      </c>
      <c r="E36" s="34">
        <v>10.9</v>
      </c>
      <c r="F36" s="34">
        <v>39.1</v>
      </c>
      <c r="G36" s="34">
        <v>4.9000000000000004</v>
      </c>
      <c r="H36" s="34">
        <v>15.9</v>
      </c>
      <c r="I36" s="34">
        <v>80.5</v>
      </c>
      <c r="J36" s="34">
        <v>71.5</v>
      </c>
      <c r="K36" s="34">
        <v>43.9</v>
      </c>
      <c r="L36" s="34">
        <v>97</v>
      </c>
      <c r="M36" s="93">
        <v>24.3</v>
      </c>
      <c r="S36" s="272" t="s">
        <v>77</v>
      </c>
      <c r="T36" s="68" t="s">
        <v>58</v>
      </c>
      <c r="U36" s="69">
        <v>83.075862068965492</v>
      </c>
      <c r="V36" s="42">
        <v>84.1</v>
      </c>
      <c r="W36" s="70">
        <v>4.7672266473652858E-4</v>
      </c>
      <c r="X36" s="260">
        <v>7.4000000000000003E-6</v>
      </c>
      <c r="Y36" s="260">
        <v>7.5999999999999996E-10</v>
      </c>
      <c r="Z36" s="97">
        <v>2E-3</v>
      </c>
      <c r="AA36" s="72">
        <v>3E-9</v>
      </c>
      <c r="AC36" s="63"/>
    </row>
    <row r="37" spans="1:29" x14ac:dyDescent="0.25">
      <c r="A37" s="1">
        <v>7</v>
      </c>
      <c r="B37" s="1" t="s">
        <v>58</v>
      </c>
      <c r="C37" s="34">
        <v>136.30000000000001</v>
      </c>
      <c r="D37" s="34">
        <v>43.6</v>
      </c>
      <c r="E37" s="34">
        <v>16.600000000000001</v>
      </c>
      <c r="F37" s="34">
        <v>25.4</v>
      </c>
      <c r="G37" s="34">
        <v>0.8</v>
      </c>
      <c r="H37" s="34">
        <v>17.3</v>
      </c>
      <c r="I37" s="34">
        <v>83.1</v>
      </c>
      <c r="J37" s="34">
        <v>69.900000000000006</v>
      </c>
      <c r="K37" s="34">
        <v>42.4</v>
      </c>
      <c r="L37" s="34">
        <v>97.2</v>
      </c>
      <c r="M37" s="93">
        <v>35.1</v>
      </c>
      <c r="S37" s="273"/>
      <c r="T37" s="66" t="s">
        <v>93</v>
      </c>
      <c r="U37" s="73">
        <v>93.17</v>
      </c>
      <c r="V37" s="42">
        <v>93.1</v>
      </c>
      <c r="W37" s="73">
        <v>0.32729396504854291</v>
      </c>
      <c r="X37" s="263"/>
      <c r="Y37" s="263"/>
      <c r="Z37" s="74"/>
      <c r="AA37" s="87">
        <v>0.38</v>
      </c>
    </row>
    <row r="38" spans="1:29" ht="15.75" thickBot="1" x14ac:dyDescent="0.3">
      <c r="A38" s="1">
        <v>8</v>
      </c>
      <c r="B38" s="1" t="s">
        <v>58</v>
      </c>
      <c r="C38" s="34">
        <v>122.6</v>
      </c>
      <c r="D38" s="34">
        <v>57.9</v>
      </c>
      <c r="E38" s="34">
        <v>1.6</v>
      </c>
      <c r="F38" s="34">
        <v>41.7</v>
      </c>
      <c r="G38" s="34">
        <v>9.5</v>
      </c>
      <c r="H38" s="34">
        <v>11.1</v>
      </c>
      <c r="I38" s="34">
        <v>79.599999999999994</v>
      </c>
      <c r="J38" s="34">
        <v>74.5</v>
      </c>
      <c r="K38" s="34">
        <v>44</v>
      </c>
      <c r="L38" s="34">
        <v>89.5</v>
      </c>
      <c r="M38" s="93">
        <v>24.3</v>
      </c>
      <c r="S38" s="274"/>
      <c r="T38" s="67" t="s">
        <v>92</v>
      </c>
      <c r="U38" s="76">
        <v>99.4157894736842</v>
      </c>
      <c r="V38" s="42">
        <v>99.7</v>
      </c>
      <c r="W38" s="42">
        <v>0.42679533131621605</v>
      </c>
      <c r="X38" s="264"/>
      <c r="Y38" s="264"/>
      <c r="Z38" s="77"/>
      <c r="AA38" s="78"/>
    </row>
    <row r="39" spans="1:29" ht="15" customHeight="1" x14ac:dyDescent="0.25">
      <c r="A39" s="1">
        <v>9</v>
      </c>
      <c r="B39" s="1" t="s">
        <v>58</v>
      </c>
      <c r="C39" s="34">
        <v>131.80000000000001</v>
      </c>
      <c r="D39" s="35">
        <v>65</v>
      </c>
      <c r="E39" s="34">
        <v>13.7</v>
      </c>
      <c r="F39" s="34">
        <v>24.5</v>
      </c>
      <c r="G39" s="34">
        <v>6</v>
      </c>
      <c r="H39" s="34">
        <v>19.8</v>
      </c>
      <c r="I39" s="34">
        <v>80.2</v>
      </c>
      <c r="J39" s="34">
        <v>73.400000000000006</v>
      </c>
      <c r="K39" s="34">
        <v>47.3</v>
      </c>
      <c r="L39" s="34">
        <v>88.5</v>
      </c>
      <c r="M39" s="93">
        <v>37</v>
      </c>
      <c r="S39" s="272" t="s">
        <v>78</v>
      </c>
      <c r="T39" s="68" t="s">
        <v>147</v>
      </c>
      <c r="U39" s="69">
        <v>14.399999999999999</v>
      </c>
      <c r="V39" s="42">
        <v>14.5</v>
      </c>
      <c r="W39" s="98">
        <v>0.92227921753667386</v>
      </c>
      <c r="X39" s="260">
        <v>2.9999999999999997E-4</v>
      </c>
      <c r="Y39" s="260">
        <v>1.2999999999999999E-5</v>
      </c>
      <c r="Z39" s="99">
        <v>0.78200000000000003</v>
      </c>
      <c r="AA39" s="75">
        <v>1E-4</v>
      </c>
    </row>
    <row r="40" spans="1:29" x14ac:dyDescent="0.25">
      <c r="A40" s="1">
        <v>10</v>
      </c>
      <c r="B40" s="1" t="s">
        <v>58</v>
      </c>
      <c r="C40" s="34">
        <v>119.8</v>
      </c>
      <c r="D40" s="34">
        <v>64.599999999999994</v>
      </c>
      <c r="E40" s="34">
        <v>9.3000000000000007</v>
      </c>
      <c r="F40" s="34">
        <v>39.200000000000003</v>
      </c>
      <c r="G40" s="34">
        <v>2.9</v>
      </c>
      <c r="H40" s="34">
        <v>12.2</v>
      </c>
      <c r="I40" s="34">
        <v>85.6</v>
      </c>
      <c r="J40" s="34">
        <v>70</v>
      </c>
      <c r="K40" s="34">
        <v>38.700000000000003</v>
      </c>
      <c r="L40" s="34">
        <v>99</v>
      </c>
      <c r="M40" s="93">
        <v>22.9</v>
      </c>
      <c r="S40" s="273"/>
      <c r="T40" s="66" t="s">
        <v>152</v>
      </c>
      <c r="U40" s="73">
        <v>14.87</v>
      </c>
      <c r="V40" s="42">
        <v>16.600000000000001</v>
      </c>
      <c r="W40" s="100">
        <v>8.3527352678310907E-3</v>
      </c>
      <c r="X40" s="263"/>
      <c r="Y40" s="263"/>
      <c r="Z40" s="101"/>
      <c r="AA40" s="75">
        <v>5.9999999999999995E-4</v>
      </c>
    </row>
    <row r="41" spans="1:29" ht="15.75" thickBot="1" x14ac:dyDescent="0.3">
      <c r="A41" s="1">
        <v>11</v>
      </c>
      <c r="B41" s="1" t="s">
        <v>58</v>
      </c>
      <c r="C41" s="34">
        <v>120.2</v>
      </c>
      <c r="D41" s="34">
        <v>76.099999999999994</v>
      </c>
      <c r="E41" s="34">
        <v>4.5999999999999996</v>
      </c>
      <c r="F41" s="34">
        <v>36.200000000000003</v>
      </c>
      <c r="G41" s="34">
        <v>11.8</v>
      </c>
      <c r="H41" s="34">
        <v>16.5</v>
      </c>
      <c r="I41" s="34">
        <v>85.5</v>
      </c>
      <c r="J41" s="34">
        <v>69.099999999999994</v>
      </c>
      <c r="K41" s="34">
        <v>40.200000000000003</v>
      </c>
      <c r="L41" s="34">
        <v>91.3</v>
      </c>
      <c r="M41" s="93">
        <v>23.7</v>
      </c>
      <c r="S41" s="274"/>
      <c r="T41" s="67" t="s">
        <v>149</v>
      </c>
      <c r="U41" s="76">
        <v>8.9842105263157901</v>
      </c>
      <c r="V41" s="42">
        <v>9.1999999999999993</v>
      </c>
      <c r="W41" s="76">
        <v>0.27781085062369493</v>
      </c>
      <c r="X41" s="264"/>
      <c r="Y41" s="264"/>
      <c r="Z41" s="102"/>
      <c r="AA41" s="103"/>
    </row>
    <row r="42" spans="1:29" ht="15" customHeight="1" x14ac:dyDescent="0.25">
      <c r="A42" s="1">
        <v>12</v>
      </c>
      <c r="B42" s="1" t="s">
        <v>58</v>
      </c>
      <c r="C42" s="34">
        <v>129.69999999999999</v>
      </c>
      <c r="D42" s="34">
        <v>78.5</v>
      </c>
      <c r="E42" s="34">
        <v>13.8</v>
      </c>
      <c r="F42" s="34">
        <v>24.7</v>
      </c>
      <c r="G42" s="34">
        <v>6.1</v>
      </c>
      <c r="H42" s="34">
        <v>19.899999999999999</v>
      </c>
      <c r="I42" s="34">
        <v>79.900000000000006</v>
      </c>
      <c r="J42" s="34">
        <v>69</v>
      </c>
      <c r="K42" s="34">
        <v>42.1</v>
      </c>
      <c r="L42" s="34">
        <v>86.9</v>
      </c>
      <c r="M42" s="93">
        <v>24.9</v>
      </c>
      <c r="S42" s="265" t="s">
        <v>79</v>
      </c>
      <c r="T42" s="68" t="s">
        <v>58</v>
      </c>
      <c r="U42" s="69">
        <v>6.1827586206896559</v>
      </c>
      <c r="V42" s="42">
        <v>5.0999999999999996</v>
      </c>
      <c r="W42" s="69">
        <v>0.14963314398857597</v>
      </c>
      <c r="X42" s="275">
        <v>6.9999999999999999E-4</v>
      </c>
      <c r="Y42" s="278">
        <v>5.8000000000000003E-2</v>
      </c>
      <c r="Z42" s="104">
        <v>0.84</v>
      </c>
      <c r="AA42" s="81">
        <v>0.13</v>
      </c>
    </row>
    <row r="43" spans="1:29" x14ac:dyDescent="0.25">
      <c r="A43" s="1">
        <v>13</v>
      </c>
      <c r="B43" s="1" t="s">
        <v>58</v>
      </c>
      <c r="C43" s="34">
        <v>122.6</v>
      </c>
      <c r="D43" s="34">
        <v>80.3</v>
      </c>
      <c r="E43" s="34">
        <v>-5</v>
      </c>
      <c r="F43" s="34">
        <v>40.9</v>
      </c>
      <c r="G43" s="34">
        <v>16.5</v>
      </c>
      <c r="H43" s="34">
        <v>11.5</v>
      </c>
      <c r="I43" s="34">
        <v>84.1</v>
      </c>
      <c r="J43" s="34">
        <v>57.1</v>
      </c>
      <c r="K43" s="34">
        <v>47.9</v>
      </c>
      <c r="L43" s="34">
        <v>94.9</v>
      </c>
      <c r="M43" s="93">
        <v>23.5</v>
      </c>
      <c r="S43" s="258"/>
      <c r="T43" s="66" t="s">
        <v>93</v>
      </c>
      <c r="U43" s="73">
        <v>4.9000000000000004</v>
      </c>
      <c r="V43" s="42">
        <v>7.6999999999999993</v>
      </c>
      <c r="W43" s="100">
        <v>1.0559156383554424E-2</v>
      </c>
      <c r="X43" s="276"/>
      <c r="Y43" s="279"/>
      <c r="Z43" s="105"/>
      <c r="AA43" s="83">
        <v>0.12</v>
      </c>
    </row>
    <row r="44" spans="1:29" ht="15.75" thickBot="1" x14ac:dyDescent="0.3">
      <c r="A44" s="1">
        <v>14</v>
      </c>
      <c r="B44" s="1" t="s">
        <v>58</v>
      </c>
      <c r="C44" s="34">
        <v>117.4</v>
      </c>
      <c r="D44" s="34">
        <v>74.8</v>
      </c>
      <c r="E44" s="34">
        <v>9.5</v>
      </c>
      <c r="F44" s="34">
        <v>39</v>
      </c>
      <c r="G44" s="34">
        <v>13.1</v>
      </c>
      <c r="H44" s="34">
        <v>22.6</v>
      </c>
      <c r="I44" s="34">
        <v>80.099999999999994</v>
      </c>
      <c r="J44" s="34">
        <v>75.599999999999994</v>
      </c>
      <c r="K44" s="34">
        <v>44.5</v>
      </c>
      <c r="L44" s="34">
        <v>88.7</v>
      </c>
      <c r="M44" s="93">
        <v>24</v>
      </c>
      <c r="S44" s="259"/>
      <c r="T44" s="67" t="s">
        <v>92</v>
      </c>
      <c r="U44" s="76">
        <v>3.4157894736842107</v>
      </c>
      <c r="V44" s="42">
        <v>3.2</v>
      </c>
      <c r="W44" s="106">
        <v>1.1274159980185883E-2</v>
      </c>
      <c r="X44" s="277"/>
      <c r="Y44" s="280"/>
      <c r="Z44" s="107"/>
      <c r="AA44" s="78"/>
    </row>
    <row r="45" spans="1:29" ht="15" customHeight="1" x14ac:dyDescent="0.25">
      <c r="A45" s="1">
        <v>15</v>
      </c>
      <c r="B45" s="1" t="s">
        <v>58</v>
      </c>
      <c r="C45" s="34">
        <v>124</v>
      </c>
      <c r="D45" s="34">
        <v>74.3</v>
      </c>
      <c r="E45" s="34">
        <v>7.3</v>
      </c>
      <c r="F45" s="34">
        <v>33.5</v>
      </c>
      <c r="G45" s="34">
        <v>8.4</v>
      </c>
      <c r="H45" s="34">
        <v>15.7</v>
      </c>
      <c r="I45" s="34">
        <v>85.3</v>
      </c>
      <c r="J45" s="34">
        <v>73.099999999999994</v>
      </c>
      <c r="K45" s="34">
        <v>45.7</v>
      </c>
      <c r="L45" s="34">
        <v>94.7</v>
      </c>
      <c r="M45" s="93">
        <v>23.3</v>
      </c>
      <c r="S45" s="265" t="s">
        <v>80</v>
      </c>
      <c r="T45" s="68" t="s">
        <v>147</v>
      </c>
      <c r="U45" s="69">
        <v>35.162068965517236</v>
      </c>
      <c r="V45" s="42">
        <v>36.200000000000003</v>
      </c>
      <c r="W45" s="108">
        <v>2.729724824275781E-2</v>
      </c>
      <c r="X45" s="260">
        <v>2.0000000000000001E-4</v>
      </c>
      <c r="Y45" s="260">
        <v>3.7999999999999998E-10</v>
      </c>
      <c r="Z45" s="80">
        <v>5.7000000000000002E-2</v>
      </c>
      <c r="AA45" s="75">
        <v>2.7999999999999999E-6</v>
      </c>
      <c r="AC45" s="63"/>
    </row>
    <row r="46" spans="1:29" x14ac:dyDescent="0.25">
      <c r="A46" s="1">
        <v>16</v>
      </c>
      <c r="B46" s="1" t="s">
        <v>58</v>
      </c>
      <c r="C46" s="34">
        <v>119.4</v>
      </c>
      <c r="D46" s="34">
        <v>74.2</v>
      </c>
      <c r="E46" s="34">
        <v>14.1</v>
      </c>
      <c r="F46" s="34">
        <v>38.799999999999997</v>
      </c>
      <c r="G46" s="34">
        <v>5.0999999999999996</v>
      </c>
      <c r="H46" s="34">
        <v>19.2</v>
      </c>
      <c r="I46" s="34">
        <v>80.3</v>
      </c>
      <c r="J46" s="34">
        <v>81.3</v>
      </c>
      <c r="K46" s="34">
        <v>43.6</v>
      </c>
      <c r="L46" s="34">
        <v>89.3</v>
      </c>
      <c r="M46" s="93">
        <v>23.8</v>
      </c>
      <c r="S46" s="258"/>
      <c r="T46" s="66" t="s">
        <v>152</v>
      </c>
      <c r="U46" s="73">
        <v>26.080000000000002</v>
      </c>
      <c r="V46" s="42">
        <v>28.7</v>
      </c>
      <c r="W46" s="73">
        <v>0.19716978516945194</v>
      </c>
      <c r="X46" s="263"/>
      <c r="Y46" s="263"/>
      <c r="Z46" s="74"/>
      <c r="AA46" s="75">
        <v>1.03E-8</v>
      </c>
      <c r="AC46" s="63"/>
    </row>
    <row r="47" spans="1:29" ht="15.75" thickBot="1" x14ac:dyDescent="0.3">
      <c r="A47" s="1">
        <v>17</v>
      </c>
      <c r="B47" s="1" t="s">
        <v>58</v>
      </c>
      <c r="C47" s="34">
        <v>121.6</v>
      </c>
      <c r="D47" s="34">
        <v>81.7</v>
      </c>
      <c r="E47" s="34">
        <v>7</v>
      </c>
      <c r="F47" s="34">
        <v>33.9</v>
      </c>
      <c r="G47" s="34">
        <v>2.9</v>
      </c>
      <c r="H47" s="34">
        <v>9.9</v>
      </c>
      <c r="I47" s="34">
        <v>83.2</v>
      </c>
      <c r="J47" s="34">
        <v>66.7</v>
      </c>
      <c r="K47" s="34">
        <v>46</v>
      </c>
      <c r="L47" s="34">
        <v>81</v>
      </c>
      <c r="M47" s="93">
        <v>24.8</v>
      </c>
      <c r="S47" s="259"/>
      <c r="T47" s="67" t="s">
        <v>151</v>
      </c>
      <c r="U47" s="76">
        <v>47.731578947368419</v>
      </c>
      <c r="V47" s="42">
        <v>47.5</v>
      </c>
      <c r="W47" s="76">
        <v>0.62664083898446254</v>
      </c>
      <c r="X47" s="264"/>
      <c r="Y47" s="264"/>
      <c r="Z47" s="77"/>
      <c r="AA47" s="78"/>
    </row>
    <row r="48" spans="1:29" ht="15" customHeight="1" x14ac:dyDescent="0.25">
      <c r="A48" s="1">
        <v>18</v>
      </c>
      <c r="B48" s="1" t="s">
        <v>58</v>
      </c>
      <c r="C48" s="34">
        <v>128.80000000000001</v>
      </c>
      <c r="D48" s="34">
        <v>78.7</v>
      </c>
      <c r="E48" s="34">
        <v>8.8000000000000007</v>
      </c>
      <c r="F48" s="34">
        <v>34.6</v>
      </c>
      <c r="G48" s="34">
        <v>7.1</v>
      </c>
      <c r="H48" s="34">
        <v>15.8</v>
      </c>
      <c r="I48" s="34">
        <v>84.7</v>
      </c>
      <c r="J48" s="34">
        <v>66.099999999999994</v>
      </c>
      <c r="K48" s="34">
        <v>47.6</v>
      </c>
      <c r="L48" s="34">
        <v>93.5</v>
      </c>
      <c r="M48" s="93">
        <v>36.700000000000003</v>
      </c>
      <c r="S48" s="265" t="s">
        <v>81</v>
      </c>
      <c r="T48" s="68" t="s">
        <v>147</v>
      </c>
      <c r="U48" s="69">
        <v>8.206896551724137</v>
      </c>
      <c r="V48" s="42">
        <v>8.8000000000000007</v>
      </c>
      <c r="W48" s="73">
        <v>0.26761027826064332</v>
      </c>
      <c r="X48" s="268">
        <v>0.22154814252805366</v>
      </c>
      <c r="Y48" s="275">
        <v>0.02</v>
      </c>
      <c r="Z48" s="71">
        <v>0.187</v>
      </c>
      <c r="AA48" s="109">
        <v>3.9E-2</v>
      </c>
    </row>
    <row r="49" spans="1:31" x14ac:dyDescent="0.25">
      <c r="A49" s="1">
        <v>19</v>
      </c>
      <c r="B49" s="1" t="s">
        <v>58</v>
      </c>
      <c r="C49" s="34">
        <v>132.69999999999999</v>
      </c>
      <c r="D49" s="34">
        <v>60</v>
      </c>
      <c r="E49" s="34">
        <v>0.4</v>
      </c>
      <c r="F49" s="34">
        <v>28.5</v>
      </c>
      <c r="G49" s="34">
        <v>23.2</v>
      </c>
      <c r="H49" s="34">
        <v>23.6</v>
      </c>
      <c r="I49" s="34">
        <v>82</v>
      </c>
      <c r="J49" s="34">
        <v>67.400000000000006</v>
      </c>
      <c r="K49" s="34">
        <v>47.3</v>
      </c>
      <c r="L49" s="34">
        <v>96</v>
      </c>
      <c r="M49" s="93">
        <v>24.4</v>
      </c>
      <c r="S49" s="258"/>
      <c r="T49" s="66" t="s">
        <v>148</v>
      </c>
      <c r="U49" s="73">
        <v>10.28</v>
      </c>
      <c r="V49" s="42">
        <v>10.3</v>
      </c>
      <c r="W49" s="73">
        <v>7.7470676373287195E-2</v>
      </c>
      <c r="X49" s="263"/>
      <c r="Y49" s="263"/>
      <c r="Z49" s="74"/>
      <c r="AA49" s="110">
        <v>6.0000000000000001E-3</v>
      </c>
    </row>
    <row r="50" spans="1:31" ht="15.75" thickBot="1" x14ac:dyDescent="0.3">
      <c r="A50" s="1">
        <v>20</v>
      </c>
      <c r="B50" s="1" t="s">
        <v>58</v>
      </c>
      <c r="C50" s="34">
        <v>116</v>
      </c>
      <c r="D50" s="34">
        <v>64</v>
      </c>
      <c r="E50" s="34">
        <v>11.7</v>
      </c>
      <c r="F50" s="34">
        <v>41.5</v>
      </c>
      <c r="G50" s="34">
        <v>1</v>
      </c>
      <c r="H50" s="34">
        <v>12.7</v>
      </c>
      <c r="I50" s="34">
        <v>84.6</v>
      </c>
      <c r="J50" s="34">
        <v>70.5</v>
      </c>
      <c r="K50" s="34">
        <v>49.5</v>
      </c>
      <c r="L50" s="34">
        <v>94.8</v>
      </c>
      <c r="M50" s="93">
        <v>19.600000000000001</v>
      </c>
      <c r="S50" s="259"/>
      <c r="T50" s="67" t="s">
        <v>149</v>
      </c>
      <c r="U50" s="76">
        <v>5.5684210526315789</v>
      </c>
      <c r="V50" s="42">
        <v>5.7</v>
      </c>
      <c r="W50" s="42">
        <v>0.14399024736512678</v>
      </c>
      <c r="X50" s="264"/>
      <c r="Y50" s="264"/>
      <c r="Z50" s="77"/>
      <c r="AA50" s="111"/>
    </row>
    <row r="51" spans="1:31" ht="15" customHeight="1" x14ac:dyDescent="0.25">
      <c r="A51" s="1">
        <v>21</v>
      </c>
      <c r="B51" s="1" t="s">
        <v>58</v>
      </c>
      <c r="C51" s="34">
        <v>138.6</v>
      </c>
      <c r="D51" s="34">
        <v>66.7</v>
      </c>
      <c r="E51" s="34">
        <v>5.2</v>
      </c>
      <c r="F51" s="34">
        <v>23.1</v>
      </c>
      <c r="G51" s="34">
        <v>9.3000000000000007</v>
      </c>
      <c r="H51" s="34">
        <v>14.5</v>
      </c>
      <c r="I51" s="34">
        <v>84.7</v>
      </c>
      <c r="J51" s="34">
        <v>68.5</v>
      </c>
      <c r="K51" s="34">
        <v>44.2</v>
      </c>
      <c r="L51" s="34">
        <v>88</v>
      </c>
      <c r="M51" s="93">
        <v>36</v>
      </c>
      <c r="S51" s="238" t="s">
        <v>82</v>
      </c>
      <c r="T51" s="23" t="s">
        <v>147</v>
      </c>
      <c r="U51" s="24">
        <v>65.531034482758614</v>
      </c>
      <c r="V51">
        <v>65.2</v>
      </c>
      <c r="W51" s="21">
        <v>0.2817795013400799</v>
      </c>
      <c r="X51" s="254">
        <v>0.52900000000000003</v>
      </c>
      <c r="Y51" s="226">
        <v>1.9E-19</v>
      </c>
      <c r="Z51" s="64">
        <v>9.3999999999999995E-8</v>
      </c>
      <c r="AA51" s="64">
        <v>3.1999999999999997E-20</v>
      </c>
      <c r="AC51" s="63"/>
    </row>
    <row r="52" spans="1:31" x14ac:dyDescent="0.25">
      <c r="A52" s="1">
        <v>22</v>
      </c>
      <c r="B52" s="1" t="s">
        <v>58</v>
      </c>
      <c r="C52" s="34">
        <v>117.6</v>
      </c>
      <c r="D52" s="34">
        <v>62.8</v>
      </c>
      <c r="E52" s="34">
        <v>5.7</v>
      </c>
      <c r="F52" s="34">
        <v>38</v>
      </c>
      <c r="G52" s="34">
        <v>5.5</v>
      </c>
      <c r="H52" s="34">
        <v>11.2</v>
      </c>
      <c r="I52" s="34">
        <v>85.4</v>
      </c>
      <c r="J52" s="34">
        <v>62.9</v>
      </c>
      <c r="K52" s="34">
        <v>43.3</v>
      </c>
      <c r="L52" s="34">
        <v>92.3</v>
      </c>
      <c r="M52" s="93">
        <v>24</v>
      </c>
      <c r="S52" s="252"/>
      <c r="T52" s="20" t="s">
        <v>150</v>
      </c>
      <c r="U52" s="21">
        <v>85.910000000000011</v>
      </c>
      <c r="V52">
        <v>84</v>
      </c>
      <c r="W52" s="21">
        <v>0.7549294252755655</v>
      </c>
      <c r="X52" s="255"/>
      <c r="Y52" s="250"/>
      <c r="Z52" s="112"/>
      <c r="AA52" s="64">
        <v>4.8999999999999997E-6</v>
      </c>
      <c r="AC52" s="63">
        <v>123.3</v>
      </c>
      <c r="AD52">
        <v>130</v>
      </c>
      <c r="AE52">
        <v>118.6</v>
      </c>
    </row>
    <row r="53" spans="1:31" ht="15.75" thickBot="1" x14ac:dyDescent="0.3">
      <c r="A53" s="1">
        <v>23</v>
      </c>
      <c r="B53" s="1" t="s">
        <v>58</v>
      </c>
      <c r="C53" s="34">
        <v>124.1</v>
      </c>
      <c r="D53" s="34">
        <v>67.7</v>
      </c>
      <c r="E53" s="34">
        <v>4</v>
      </c>
      <c r="F53" s="34">
        <v>35.6</v>
      </c>
      <c r="G53" s="34">
        <v>11.3</v>
      </c>
      <c r="H53" s="34">
        <v>15.3</v>
      </c>
      <c r="I53" s="34">
        <v>79.7</v>
      </c>
      <c r="J53" s="34">
        <v>69.5</v>
      </c>
      <c r="K53" s="34">
        <v>47.5</v>
      </c>
      <c r="L53" s="34">
        <v>91.1</v>
      </c>
      <c r="M53" s="93">
        <v>24.3</v>
      </c>
      <c r="S53" s="253"/>
      <c r="T53" s="26" t="s">
        <v>151</v>
      </c>
      <c r="U53" s="27">
        <v>103.81578947368422</v>
      </c>
      <c r="V53">
        <v>105.4</v>
      </c>
      <c r="W53" s="41">
        <v>4.3091694758734866E-2</v>
      </c>
      <c r="X53" s="256"/>
      <c r="Y53" s="251"/>
      <c r="Z53" s="28"/>
      <c r="AA53" s="30"/>
      <c r="AC53" s="63"/>
    </row>
    <row r="54" spans="1:31" ht="15" customHeight="1" x14ac:dyDescent="0.25">
      <c r="A54" s="1">
        <v>24</v>
      </c>
      <c r="B54" s="1" t="s">
        <v>58</v>
      </c>
      <c r="C54" s="34">
        <v>114.7</v>
      </c>
      <c r="D54" s="34">
        <v>58.8</v>
      </c>
      <c r="E54" s="34">
        <v>8.3000000000000007</v>
      </c>
      <c r="F54" s="34">
        <v>43.7</v>
      </c>
      <c r="G54" s="34">
        <v>0.3</v>
      </c>
      <c r="H54" s="34">
        <v>8.5</v>
      </c>
      <c r="I54" s="34">
        <v>83.6</v>
      </c>
      <c r="J54" s="34">
        <v>79.5</v>
      </c>
      <c r="K54" s="34">
        <v>38.200000000000003</v>
      </c>
      <c r="L54" s="34">
        <v>96.4</v>
      </c>
      <c r="M54" s="93">
        <v>19.100000000000001</v>
      </c>
      <c r="S54" s="231" t="s">
        <v>83</v>
      </c>
      <c r="T54" s="23" t="s">
        <v>147</v>
      </c>
      <c r="U54" s="24">
        <v>124.13103448275861</v>
      </c>
      <c r="V54" s="113">
        <v>123.3</v>
      </c>
      <c r="W54" s="21">
        <v>0.32011519083073781</v>
      </c>
      <c r="X54" s="260">
        <v>2.9999999999999997E-4</v>
      </c>
      <c r="Y54" s="226">
        <v>9.5000000000000005E-6</v>
      </c>
      <c r="Z54" s="114">
        <v>7.0000000000000007E-2</v>
      </c>
      <c r="AA54" s="31">
        <v>5.0000000000000001E-3</v>
      </c>
      <c r="AB54">
        <v>7.0000000000000007E-2</v>
      </c>
    </row>
    <row r="55" spans="1:31" x14ac:dyDescent="0.25">
      <c r="A55" s="1">
        <v>25</v>
      </c>
      <c r="B55" s="1" t="s">
        <v>58</v>
      </c>
      <c r="C55" s="34">
        <v>119.5</v>
      </c>
      <c r="D55" s="34">
        <v>68.099999999999994</v>
      </c>
      <c r="E55" s="34">
        <v>11.5</v>
      </c>
      <c r="F55" s="34">
        <v>32.9</v>
      </c>
      <c r="G55" s="34">
        <v>3.1</v>
      </c>
      <c r="H55" s="34">
        <v>14.7</v>
      </c>
      <c r="I55" s="34">
        <v>85.2</v>
      </c>
      <c r="J55" s="34">
        <v>74.2</v>
      </c>
      <c r="K55" s="34">
        <v>45</v>
      </c>
      <c r="L55" s="34">
        <v>92.9</v>
      </c>
      <c r="M55" s="93">
        <v>23.1</v>
      </c>
      <c r="S55" s="232"/>
      <c r="T55" s="20" t="s">
        <v>148</v>
      </c>
      <c r="U55" s="21">
        <v>131.95999999999998</v>
      </c>
      <c r="V55">
        <v>130</v>
      </c>
      <c r="W55" s="21">
        <v>0.34753478971011109</v>
      </c>
      <c r="X55" s="263"/>
      <c r="Y55" s="250"/>
      <c r="Z55" s="25"/>
      <c r="AA55" s="64">
        <v>2.1999999999999999E-5</v>
      </c>
      <c r="AB55">
        <v>5.0000000000000001E-3</v>
      </c>
    </row>
    <row r="56" spans="1:31" ht="15.75" thickBot="1" x14ac:dyDescent="0.3">
      <c r="A56" s="1">
        <v>26</v>
      </c>
      <c r="B56" s="1" t="s">
        <v>58</v>
      </c>
      <c r="C56" s="34">
        <v>120.2</v>
      </c>
      <c r="D56" s="34">
        <v>64</v>
      </c>
      <c r="E56" s="34">
        <v>7.6</v>
      </c>
      <c r="F56" s="34">
        <v>36.5</v>
      </c>
      <c r="G56" s="34">
        <v>1</v>
      </c>
      <c r="H56" s="34">
        <v>8.6999999999999993</v>
      </c>
      <c r="I56" s="34">
        <v>84.2</v>
      </c>
      <c r="J56" s="34">
        <v>65.3</v>
      </c>
      <c r="K56" s="34">
        <v>40.9</v>
      </c>
      <c r="L56" s="34">
        <v>88.1</v>
      </c>
      <c r="M56" s="93">
        <v>22.7</v>
      </c>
      <c r="S56" s="233"/>
      <c r="T56" s="26" t="s">
        <v>149</v>
      </c>
      <c r="U56" s="27">
        <v>118.83684210526316</v>
      </c>
      <c r="V56">
        <v>118.6</v>
      </c>
      <c r="W56" s="41">
        <v>1.1121677630665516E-4</v>
      </c>
      <c r="X56" s="264"/>
      <c r="Y56" s="251"/>
      <c r="Z56" s="28"/>
      <c r="AA56" s="29"/>
      <c r="AB56" s="63">
        <v>2.1999999999999999E-5</v>
      </c>
    </row>
    <row r="57" spans="1:31" x14ac:dyDescent="0.25">
      <c r="A57" s="1">
        <v>27</v>
      </c>
      <c r="B57" s="1" t="s">
        <v>58</v>
      </c>
      <c r="C57" s="34">
        <v>120.2</v>
      </c>
      <c r="D57" s="34">
        <v>63.5</v>
      </c>
      <c r="E57" s="34">
        <v>8.1</v>
      </c>
      <c r="F57" s="34">
        <v>36.5</v>
      </c>
      <c r="G57" s="34">
        <v>5</v>
      </c>
      <c r="H57" s="34">
        <v>13.1</v>
      </c>
      <c r="I57" s="34">
        <v>85.5</v>
      </c>
      <c r="J57" s="34">
        <v>70.099999999999994</v>
      </c>
      <c r="K57" s="34">
        <v>44.2</v>
      </c>
      <c r="L57" s="34">
        <v>93.9</v>
      </c>
      <c r="M57" s="93">
        <v>19.600000000000001</v>
      </c>
    </row>
    <row r="58" spans="1:31" x14ac:dyDescent="0.25">
      <c r="A58" s="1">
        <v>28</v>
      </c>
      <c r="B58" s="1" t="s">
        <v>58</v>
      </c>
      <c r="C58" s="34">
        <v>128.4</v>
      </c>
      <c r="D58" s="34">
        <v>57.8</v>
      </c>
      <c r="E58" s="34">
        <v>13</v>
      </c>
      <c r="F58" s="34">
        <v>31</v>
      </c>
      <c r="G58" s="34">
        <v>-6.8</v>
      </c>
      <c r="H58" s="34">
        <v>6.2</v>
      </c>
      <c r="I58" s="34">
        <v>85.1</v>
      </c>
      <c r="J58" s="34">
        <v>70.8</v>
      </c>
      <c r="K58" s="34">
        <v>48.4</v>
      </c>
      <c r="L58" s="34">
        <v>89.2</v>
      </c>
      <c r="M58" s="93">
        <v>35.799999999999997</v>
      </c>
    </row>
    <row r="59" spans="1:31" x14ac:dyDescent="0.25">
      <c r="A59" s="1">
        <v>29</v>
      </c>
      <c r="B59" s="1" t="s">
        <v>58</v>
      </c>
      <c r="C59" s="38">
        <v>128.9</v>
      </c>
      <c r="D59" s="38">
        <v>65.2</v>
      </c>
      <c r="E59" s="38">
        <v>9.9</v>
      </c>
      <c r="F59" s="38">
        <v>38.9</v>
      </c>
      <c r="G59" s="38">
        <v>3.9</v>
      </c>
      <c r="H59" s="38">
        <v>13.8</v>
      </c>
      <c r="I59" s="38">
        <v>80.599999999999994</v>
      </c>
      <c r="J59" s="38">
        <v>65.8</v>
      </c>
      <c r="K59" s="38">
        <v>49.4</v>
      </c>
      <c r="L59" s="38">
        <v>80.099999999999994</v>
      </c>
      <c r="M59" s="94">
        <v>35.5</v>
      </c>
    </row>
  </sheetData>
  <mergeCells count="33">
    <mergeCell ref="S51:S53"/>
    <mergeCell ref="X51:X53"/>
    <mergeCell ref="Y51:Y53"/>
    <mergeCell ref="S54:S56"/>
    <mergeCell ref="X54:X56"/>
    <mergeCell ref="Y54:Y56"/>
    <mergeCell ref="S45:S47"/>
    <mergeCell ref="X45:X47"/>
    <mergeCell ref="Y45:Y47"/>
    <mergeCell ref="S48:S50"/>
    <mergeCell ref="X48:X50"/>
    <mergeCell ref="Y48:Y50"/>
    <mergeCell ref="S39:S41"/>
    <mergeCell ref="X39:X41"/>
    <mergeCell ref="Y39:Y41"/>
    <mergeCell ref="S42:S44"/>
    <mergeCell ref="X42:X44"/>
    <mergeCell ref="Y42:Y44"/>
    <mergeCell ref="Y30:Y32"/>
    <mergeCell ref="S33:S35"/>
    <mergeCell ref="X33:X35"/>
    <mergeCell ref="Y33:Y35"/>
    <mergeCell ref="S36:S38"/>
    <mergeCell ref="X36:X38"/>
    <mergeCell ref="Y36:Y38"/>
    <mergeCell ref="S30:S32"/>
    <mergeCell ref="X30:X32"/>
    <mergeCell ref="S24:S26"/>
    <mergeCell ref="X24:X26"/>
    <mergeCell ref="Y24:Y26"/>
    <mergeCell ref="S27:S29"/>
    <mergeCell ref="X27:X29"/>
    <mergeCell ref="Y27:Y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21"/>
  <sheetViews>
    <sheetView workbookViewId="0">
      <selection activeCell="E7" sqref="E7"/>
    </sheetView>
  </sheetViews>
  <sheetFormatPr baseColWidth="10" defaultRowHeight="15" x14ac:dyDescent="0.25"/>
  <cols>
    <col min="3" max="3" width="8.85546875" customWidth="1"/>
    <col min="4" max="4" width="8.5703125" customWidth="1"/>
    <col min="5" max="5" width="9.5703125" customWidth="1"/>
    <col min="6" max="6" width="9.140625" customWidth="1"/>
    <col min="7" max="7" width="9.42578125" customWidth="1"/>
    <col min="8" max="8" width="9.140625" customWidth="1"/>
    <col min="9" max="9" width="18.140625" customWidth="1"/>
    <col min="10" max="10" width="17.140625" customWidth="1"/>
    <col min="11" max="11" width="18.85546875" customWidth="1"/>
  </cols>
  <sheetData>
    <row r="2" spans="2:11" ht="15.75" thickBot="1" x14ac:dyDescent="0.3"/>
    <row r="3" spans="2:11" x14ac:dyDescent="0.25">
      <c r="B3" s="289"/>
      <c r="C3" s="291" t="s">
        <v>165</v>
      </c>
      <c r="D3" s="283"/>
      <c r="E3" s="287" t="s">
        <v>156</v>
      </c>
      <c r="F3" s="287"/>
      <c r="G3" s="287" t="s">
        <v>157</v>
      </c>
      <c r="H3" s="288"/>
      <c r="I3" s="281" t="s">
        <v>158</v>
      </c>
      <c r="J3" s="283" t="s">
        <v>159</v>
      </c>
      <c r="K3" s="285" t="s">
        <v>160</v>
      </c>
    </row>
    <row r="4" spans="2:11" ht="15.75" thickBot="1" x14ac:dyDescent="0.3">
      <c r="B4" s="290"/>
      <c r="C4" s="192" t="s">
        <v>62</v>
      </c>
      <c r="D4" s="193" t="s">
        <v>64</v>
      </c>
      <c r="E4" s="193" t="s">
        <v>62</v>
      </c>
      <c r="F4" s="193" t="s">
        <v>64</v>
      </c>
      <c r="G4" s="193" t="s">
        <v>62</v>
      </c>
      <c r="H4" s="194" t="s">
        <v>64</v>
      </c>
      <c r="I4" s="282"/>
      <c r="J4" s="284"/>
      <c r="K4" s="286"/>
    </row>
    <row r="5" spans="2:11" ht="24.75" customHeight="1" x14ac:dyDescent="0.25">
      <c r="B5" s="183" t="s">
        <v>161</v>
      </c>
      <c r="C5" s="184">
        <v>25.951724137931034</v>
      </c>
      <c r="D5" s="185">
        <v>24.3</v>
      </c>
      <c r="E5" s="186">
        <v>32.39</v>
      </c>
      <c r="F5" s="186">
        <v>32.299999999999997</v>
      </c>
      <c r="G5" s="187">
        <v>19.078947368421051</v>
      </c>
      <c r="H5" s="188">
        <v>19</v>
      </c>
      <c r="I5" s="189">
        <v>0.1</v>
      </c>
      <c r="J5" s="190">
        <v>1.1E-5</v>
      </c>
      <c r="K5" s="191">
        <v>1.3E-7</v>
      </c>
    </row>
    <row r="6" spans="2:11" ht="23.25" customHeight="1" x14ac:dyDescent="0.25">
      <c r="B6" s="181" t="s">
        <v>162</v>
      </c>
      <c r="C6" s="180">
        <v>91.810344827586206</v>
      </c>
      <c r="D6" s="160">
        <v>92.8</v>
      </c>
      <c r="E6" s="161">
        <v>92.140000000000015</v>
      </c>
      <c r="F6" s="161">
        <v>91.9</v>
      </c>
      <c r="G6" s="162">
        <v>93.184210526315795</v>
      </c>
      <c r="H6" s="155">
        <v>92.6</v>
      </c>
      <c r="I6" s="174">
        <v>0.83</v>
      </c>
      <c r="J6" s="167">
        <v>0.27</v>
      </c>
      <c r="K6" s="196">
        <v>0.53</v>
      </c>
    </row>
    <row r="7" spans="2:11" ht="24" customHeight="1" x14ac:dyDescent="0.25">
      <c r="B7" s="181" t="s">
        <v>163</v>
      </c>
      <c r="C7" s="166">
        <v>44.393103448275873</v>
      </c>
      <c r="D7" s="166">
        <v>44.2</v>
      </c>
      <c r="E7" s="165">
        <v>48.910000000000004</v>
      </c>
      <c r="F7" s="165">
        <v>48.35</v>
      </c>
      <c r="G7" s="164">
        <v>42.794736842105259</v>
      </c>
      <c r="H7" s="164">
        <v>42.8</v>
      </c>
      <c r="I7" s="197">
        <v>6.0883949924385611E-5</v>
      </c>
      <c r="J7" s="167">
        <v>6.1415230385898231E-2</v>
      </c>
      <c r="K7" s="169">
        <v>9.4840817299730177E-7</v>
      </c>
    </row>
    <row r="8" spans="2:11" ht="24.75" customHeight="1" x14ac:dyDescent="0.25">
      <c r="B8" s="181" t="s">
        <v>164</v>
      </c>
      <c r="C8" s="180">
        <v>70.186206896551724</v>
      </c>
      <c r="D8" s="160">
        <v>69.900000000000006</v>
      </c>
      <c r="E8" s="161">
        <v>60.559999999999988</v>
      </c>
      <c r="F8" s="161">
        <v>60.2</v>
      </c>
      <c r="G8" s="162">
        <v>83.673684210526318</v>
      </c>
      <c r="H8" s="155">
        <v>83.4</v>
      </c>
      <c r="I8" s="175">
        <v>1.04E-7</v>
      </c>
      <c r="J8" s="163">
        <v>5.6000000000000003E-15</v>
      </c>
      <c r="K8" s="168">
        <v>1.7000000000000001E-19</v>
      </c>
    </row>
    <row r="9" spans="2:11" ht="24.75" customHeight="1" x14ac:dyDescent="0.25">
      <c r="B9" s="181" t="s">
        <v>166</v>
      </c>
      <c r="C9" s="180">
        <v>83.075862068965492</v>
      </c>
      <c r="D9" s="160">
        <v>84.1</v>
      </c>
      <c r="E9" s="161">
        <v>78.17</v>
      </c>
      <c r="F9" s="161">
        <v>78.099999999999994</v>
      </c>
      <c r="G9" s="162">
        <v>99.4157894736842</v>
      </c>
      <c r="H9" s="155">
        <v>99.7</v>
      </c>
      <c r="I9" s="176">
        <v>2E-3</v>
      </c>
      <c r="J9" s="163">
        <v>3E-9</v>
      </c>
      <c r="K9" s="191">
        <v>2.3E-6</v>
      </c>
    </row>
    <row r="10" spans="2:11" ht="21.75" customHeight="1" x14ac:dyDescent="0.25">
      <c r="B10" s="181" t="s">
        <v>167</v>
      </c>
      <c r="C10" s="180">
        <v>14.399999999999999</v>
      </c>
      <c r="D10" s="160">
        <v>14.5</v>
      </c>
      <c r="E10" s="161">
        <v>14.87</v>
      </c>
      <c r="F10" s="161">
        <v>16.600000000000001</v>
      </c>
      <c r="G10" s="162">
        <v>8.9842105263157901</v>
      </c>
      <c r="H10" s="155">
        <v>9.1999999999999993</v>
      </c>
      <c r="I10" s="177">
        <v>0.78200000000000003</v>
      </c>
      <c r="J10" s="163">
        <v>1E-4</v>
      </c>
      <c r="K10" s="168">
        <v>5.9999999999999995E-4</v>
      </c>
    </row>
    <row r="11" spans="2:11" ht="23.25" customHeight="1" x14ac:dyDescent="0.25">
      <c r="B11" s="181" t="s">
        <v>79</v>
      </c>
      <c r="C11" s="180">
        <v>6.1827586206896559</v>
      </c>
      <c r="D11" s="160">
        <v>5.0999999999999996</v>
      </c>
      <c r="E11" s="161">
        <v>4.9000000000000004</v>
      </c>
      <c r="F11" s="161">
        <v>7.6999999999999993</v>
      </c>
      <c r="G11" s="162">
        <v>3.4157894736842107</v>
      </c>
      <c r="H11" s="155">
        <v>3.2</v>
      </c>
      <c r="I11" s="178">
        <v>0.84</v>
      </c>
      <c r="J11" s="167">
        <v>0.13</v>
      </c>
      <c r="K11" s="196">
        <v>0.12</v>
      </c>
    </row>
    <row r="12" spans="2:11" ht="24.75" customHeight="1" x14ac:dyDescent="0.25">
      <c r="B12" s="181" t="s">
        <v>80</v>
      </c>
      <c r="C12" s="156">
        <v>35.162068965517236</v>
      </c>
      <c r="D12" s="162">
        <v>36.200000000000003</v>
      </c>
      <c r="E12" s="161">
        <v>26.080000000000002</v>
      </c>
      <c r="F12" s="161">
        <v>28.7</v>
      </c>
      <c r="G12" s="162">
        <v>47.731578947368419</v>
      </c>
      <c r="H12" s="155">
        <v>47.5</v>
      </c>
      <c r="I12" s="174">
        <v>5.7000000000000002E-2</v>
      </c>
      <c r="J12" s="163">
        <v>2.7999999999999999E-6</v>
      </c>
      <c r="K12" s="168">
        <v>1.03E-8</v>
      </c>
    </row>
    <row r="13" spans="2:11" ht="21.75" customHeight="1" x14ac:dyDescent="0.25">
      <c r="B13" s="181" t="s">
        <v>168</v>
      </c>
      <c r="C13" s="156">
        <v>8.206896551724137</v>
      </c>
      <c r="D13" s="162">
        <v>8.8000000000000007</v>
      </c>
      <c r="E13" s="161">
        <v>10.28</v>
      </c>
      <c r="F13" s="161">
        <v>10.3</v>
      </c>
      <c r="G13" s="162">
        <v>5.5684210526315789</v>
      </c>
      <c r="H13" s="155">
        <v>5.7</v>
      </c>
      <c r="I13" s="173">
        <v>0.187</v>
      </c>
      <c r="J13" s="198">
        <v>3.9E-2</v>
      </c>
      <c r="K13" s="199">
        <v>6.0000000000000001E-3</v>
      </c>
    </row>
    <row r="14" spans="2:11" ht="27.75" customHeight="1" x14ac:dyDescent="0.25">
      <c r="B14" s="181" t="s">
        <v>169</v>
      </c>
      <c r="C14" s="156">
        <v>65.531034482758614</v>
      </c>
      <c r="D14" s="162">
        <v>65.2</v>
      </c>
      <c r="E14" s="161">
        <v>85.910000000000011</v>
      </c>
      <c r="F14" s="161">
        <v>84</v>
      </c>
      <c r="G14" s="162">
        <v>103.81578947368422</v>
      </c>
      <c r="H14" s="155">
        <v>105.4</v>
      </c>
      <c r="I14" s="200">
        <v>9.3999999999999995E-8</v>
      </c>
      <c r="J14" s="201">
        <v>3.1999999999999997E-20</v>
      </c>
      <c r="K14" s="202">
        <v>4.8999999999999997E-6</v>
      </c>
    </row>
    <row r="15" spans="2:11" ht="25.5" customHeight="1" thickBot="1" x14ac:dyDescent="0.3">
      <c r="B15" s="182" t="s">
        <v>170</v>
      </c>
      <c r="C15" s="157">
        <v>124.13103448275861</v>
      </c>
      <c r="D15" s="171">
        <v>123.3</v>
      </c>
      <c r="E15" s="172">
        <v>131.95999999999998</v>
      </c>
      <c r="F15" s="172">
        <v>130</v>
      </c>
      <c r="G15" s="170">
        <v>118.83684210526316</v>
      </c>
      <c r="H15" s="158">
        <v>118.6</v>
      </c>
      <c r="I15" s="179">
        <v>7.0000000000000007E-2</v>
      </c>
      <c r="J15" s="203">
        <v>5.0000000000000001E-3</v>
      </c>
      <c r="K15" s="204">
        <v>2.1999999999999999E-5</v>
      </c>
    </row>
    <row r="16" spans="2:11" ht="15" customHeight="1" x14ac:dyDescent="0.25">
      <c r="E16" s="11"/>
      <c r="F16" s="11"/>
      <c r="G16" s="11"/>
      <c r="H16" s="150"/>
      <c r="I16" s="152"/>
    </row>
    <row r="17" spans="2:9" x14ac:dyDescent="0.25">
      <c r="B17" s="153"/>
      <c r="E17" s="11"/>
      <c r="F17" s="11"/>
      <c r="G17" s="11"/>
      <c r="H17" s="151"/>
      <c r="I17" s="152"/>
    </row>
    <row r="18" spans="2:9" x14ac:dyDescent="0.25">
      <c r="B18" s="153"/>
    </row>
    <row r="19" spans="2:9" ht="15" customHeight="1" x14ac:dyDescent="0.25"/>
    <row r="20" spans="2:9" x14ac:dyDescent="0.25">
      <c r="B20" s="154"/>
    </row>
    <row r="21" spans="2:9" x14ac:dyDescent="0.25">
      <c r="B21" s="154"/>
    </row>
  </sheetData>
  <mergeCells count="7">
    <mergeCell ref="I3:I4"/>
    <mergeCell ref="J3:J4"/>
    <mergeCell ref="K3:K4"/>
    <mergeCell ref="G3:H3"/>
    <mergeCell ref="B3:B4"/>
    <mergeCell ref="C3:D3"/>
    <mergeCell ref="E3:F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resultados (2)</vt:lpstr>
      <vt:lpstr>CLASE I</vt:lpstr>
      <vt:lpstr>CLASE III</vt:lpstr>
      <vt:lpstr>BASE</vt:lpstr>
      <vt:lpstr>.......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</dc:creator>
  <cp:lastModifiedBy>Monica Maritza Cobos Calderon</cp:lastModifiedBy>
  <dcterms:created xsi:type="dcterms:W3CDTF">2017-10-09T23:49:58Z</dcterms:created>
  <dcterms:modified xsi:type="dcterms:W3CDTF">2025-05-26T20:07:00Z</dcterms:modified>
</cp:coreProperties>
</file>