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gue\Desktop\"/>
    </mc:Choice>
  </mc:AlternateContent>
  <bookViews>
    <workbookView xWindow="0" yWindow="0" windowWidth="14580" windowHeight="12360" firstSheet="3" activeTab="8"/>
  </bookViews>
  <sheets>
    <sheet name="OBJETIVOS FINANCIEROS" sheetId="1" r:id="rId1"/>
    <sheet name="INVERSION INICIAL" sheetId="2" r:id="rId2"/>
    <sheet name="FUENTE DE FINANCIAMIENTO" sheetId="4" r:id="rId3"/>
    <sheet name="PLAN DE PRODUCCION" sheetId="10" r:id="rId4"/>
    <sheet name="COSTOS DE PRODUCCION" sheetId="15" r:id="rId5"/>
    <sheet name="INGRESOS" sheetId="11" r:id="rId6"/>
    <sheet name="EGRESOS" sheetId="9" r:id="rId7"/>
    <sheet name="FLUJO DE CAJA" sheetId="12" r:id="rId8"/>
    <sheet name="ANALISIS DE RENTABILIDAD" sheetId="13" r:id="rId9"/>
    <sheet name="PERDIDAS Y GANANCIAS " sheetId="16" r:id="rId10"/>
  </sheets>
  <externalReferences>
    <externalReference r:id="rId11"/>
    <externalReference r:id="rId12"/>
  </externalReferences>
  <definedNames>
    <definedName name="Fecha_De_Inicio_Del_Prestamo">'[1]Programación del préstamo'!$E$7</definedName>
    <definedName name="Importe_Del_Prestamo">'[1]Programación del préstamo'!$E$3</definedName>
    <definedName name="Importe_Total_De_Intereses">SUM([1]!PaymentSchedule[INTERÉS])</definedName>
    <definedName name="LoanIsGood">('[1]Programación del préstamo'!$E$3*'[1]Programación del préstamo'!$E$4*'[1]Programación del préstamo'!$E$5*'[1]Programación del préstamo'!$E$7)&gt;0</definedName>
    <definedName name="Numero_De_Pagos_Por_Año">'[1]Programación del préstamo'!$E$6</definedName>
    <definedName name="Numero_De_Pagos_Programados">'[1]Programación del préstamo'!$I$4</definedName>
    <definedName name="Pago_Programado">'[1]Programación del préstamo'!$I$3</definedName>
    <definedName name="Pagos_Extra_Opcionales">'[1]Programación del préstamo'!$E$9</definedName>
    <definedName name="Tasa_De_Interes_Anual">'[1]Programación del préstamo'!$E$4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3" l="1"/>
  <c r="E15" i="4" l="1"/>
  <c r="D15" i="4"/>
  <c r="F6" i="1"/>
  <c r="D6" i="1"/>
  <c r="E6" i="1"/>
  <c r="E8" i="1" s="1"/>
  <c r="C6" i="1"/>
  <c r="B6" i="1"/>
  <c r="G5" i="1"/>
  <c r="D5" i="1"/>
  <c r="E5" i="1"/>
  <c r="F5" i="1"/>
  <c r="C5" i="1"/>
  <c r="C13" i="16"/>
  <c r="N7" i="9"/>
  <c r="M7" i="9"/>
  <c r="L7" i="9"/>
  <c r="K7" i="9"/>
  <c r="J7" i="9"/>
  <c r="I7" i="9"/>
  <c r="H7" i="9"/>
  <c r="G7" i="9"/>
  <c r="F7" i="9"/>
  <c r="E7" i="9"/>
  <c r="D7" i="9"/>
  <c r="C7" i="9"/>
  <c r="B5" i="15" l="1"/>
  <c r="D14" i="11"/>
  <c r="E14" i="11"/>
  <c r="F14" i="11"/>
  <c r="G14" i="11"/>
  <c r="C14" i="11"/>
  <c r="N8" i="9"/>
  <c r="M8" i="9"/>
  <c r="L8" i="9"/>
  <c r="K8" i="9"/>
  <c r="J8" i="9"/>
  <c r="I8" i="9"/>
  <c r="H8" i="9"/>
  <c r="G8" i="9"/>
  <c r="F8" i="9"/>
  <c r="E8" i="9"/>
  <c r="D8" i="9"/>
  <c r="C8" i="9"/>
  <c r="G35" i="11"/>
  <c r="G34" i="11"/>
  <c r="G33" i="11"/>
  <c r="F35" i="11"/>
  <c r="F34" i="11"/>
  <c r="F33" i="11"/>
  <c r="E35" i="11"/>
  <c r="E34" i="11"/>
  <c r="E33" i="11"/>
  <c r="D35" i="11"/>
  <c r="D34" i="11"/>
  <c r="D33" i="11"/>
  <c r="C35" i="11"/>
  <c r="C34" i="11"/>
  <c r="C33" i="11"/>
  <c r="C19" i="11"/>
  <c r="C18" i="11"/>
  <c r="C17" i="11"/>
  <c r="O7" i="9" l="1"/>
  <c r="O8" i="9"/>
  <c r="C8" i="1"/>
  <c r="D8" i="1"/>
  <c r="F8" i="1"/>
  <c r="G4" i="1"/>
  <c r="C28" i="11"/>
  <c r="C17" i="16"/>
  <c r="C10" i="13" s="1"/>
  <c r="D36" i="11"/>
  <c r="E36" i="11"/>
  <c r="F36" i="11"/>
  <c r="G36" i="11"/>
  <c r="C36" i="11"/>
  <c r="C27" i="11"/>
  <c r="D26" i="11"/>
  <c r="F26" i="11"/>
  <c r="C26" i="11"/>
  <c r="D13" i="11"/>
  <c r="E13" i="11" s="1"/>
  <c r="F13" i="11" s="1"/>
  <c r="G13" i="11" s="1"/>
  <c r="G27" i="11" s="1"/>
  <c r="D12" i="11"/>
  <c r="E12" i="11" s="1"/>
  <c r="F12" i="11" s="1"/>
  <c r="G12" i="11" s="1"/>
  <c r="G26" i="11" s="1"/>
  <c r="D19" i="11"/>
  <c r="E19" i="11"/>
  <c r="F19" i="11"/>
  <c r="G19" i="11"/>
  <c r="H19" i="11"/>
  <c r="I19" i="11"/>
  <c r="J19" i="11"/>
  <c r="K19" i="11"/>
  <c r="L19" i="11"/>
  <c r="M19" i="11"/>
  <c r="N19" i="11"/>
  <c r="D18" i="11"/>
  <c r="E18" i="11"/>
  <c r="F18" i="11"/>
  <c r="G18" i="11"/>
  <c r="H18" i="11"/>
  <c r="I18" i="11"/>
  <c r="J18" i="11"/>
  <c r="K18" i="11"/>
  <c r="L18" i="11"/>
  <c r="M18" i="11"/>
  <c r="N18" i="11"/>
  <c r="D17" i="11"/>
  <c r="E17" i="11"/>
  <c r="F17" i="11"/>
  <c r="G17" i="11"/>
  <c r="H17" i="11"/>
  <c r="I17" i="11"/>
  <c r="J17" i="11"/>
  <c r="K17" i="11"/>
  <c r="L17" i="11"/>
  <c r="M17" i="11"/>
  <c r="N17" i="11"/>
  <c r="C26" i="9"/>
  <c r="C28" i="9" s="1"/>
  <c r="C15" i="12" s="1"/>
  <c r="O6" i="11"/>
  <c r="O5" i="11"/>
  <c r="P7" i="10"/>
  <c r="P8" i="10"/>
  <c r="P6" i="10"/>
  <c r="B18" i="10"/>
  <c r="F23" i="16"/>
  <c r="G23" i="16"/>
  <c r="C27" i="16"/>
  <c r="C11" i="12"/>
  <c r="D11" i="12"/>
  <c r="E11" i="12"/>
  <c r="F11" i="12"/>
  <c r="G11" i="12"/>
  <c r="H11" i="12"/>
  <c r="I11" i="12"/>
  <c r="J11" i="12"/>
  <c r="K11" i="12"/>
  <c r="L11" i="12"/>
  <c r="M11" i="12"/>
  <c r="N11" i="12"/>
  <c r="C12" i="12"/>
  <c r="D12" i="12"/>
  <c r="E12" i="12"/>
  <c r="F12" i="12"/>
  <c r="G12" i="12"/>
  <c r="H12" i="12"/>
  <c r="I12" i="12"/>
  <c r="J12" i="12"/>
  <c r="K12" i="12"/>
  <c r="L12" i="12"/>
  <c r="M12" i="12"/>
  <c r="N12" i="12"/>
  <c r="O21" i="12"/>
  <c r="C25" i="12"/>
  <c r="C27" i="12" s="1"/>
  <c r="D26" i="12"/>
  <c r="D27" i="12" s="1"/>
  <c r="E26" i="12"/>
  <c r="E27" i="12" s="1"/>
  <c r="F26" i="12"/>
  <c r="F27" i="12" s="1"/>
  <c r="G26" i="12"/>
  <c r="H26" i="12"/>
  <c r="I26" i="12"/>
  <c r="I27" i="12" s="1"/>
  <c r="J26" i="12"/>
  <c r="J27" i="12" s="1"/>
  <c r="K26" i="12"/>
  <c r="K27" i="12" s="1"/>
  <c r="L26" i="12"/>
  <c r="L27" i="12" s="1"/>
  <c r="M26" i="12"/>
  <c r="M27" i="12" s="1"/>
  <c r="N26" i="12"/>
  <c r="G27" i="12"/>
  <c r="H27" i="12"/>
  <c r="N27" i="12"/>
  <c r="B11" i="11"/>
  <c r="B17" i="11" s="1"/>
  <c r="B25" i="11" s="1"/>
  <c r="B33" i="11" s="1"/>
  <c r="C11" i="10"/>
  <c r="C12" i="10" s="1"/>
  <c r="C13" i="10" s="1"/>
  <c r="F21" i="10"/>
  <c r="C9" i="9"/>
  <c r="D9" i="9"/>
  <c r="E9" i="9"/>
  <c r="F9" i="9"/>
  <c r="G9" i="9"/>
  <c r="H9" i="9"/>
  <c r="I9" i="9"/>
  <c r="J9" i="9"/>
  <c r="K9" i="9"/>
  <c r="L9" i="9"/>
  <c r="M9" i="9"/>
  <c r="N9" i="9"/>
  <c r="O22" i="9"/>
  <c r="O23" i="9"/>
  <c r="C34" i="9" s="1"/>
  <c r="O24" i="9"/>
  <c r="C35" i="9" s="1"/>
  <c r="D35" i="9" s="1"/>
  <c r="E35" i="9" s="1"/>
  <c r="F35" i="9" s="1"/>
  <c r="G35" i="9" s="1"/>
  <c r="O25" i="9"/>
  <c r="C36" i="9" s="1"/>
  <c r="D36" i="9" s="1"/>
  <c r="E36" i="9" s="1"/>
  <c r="F36" i="9" s="1"/>
  <c r="G36" i="9" s="1"/>
  <c r="O27" i="9"/>
  <c r="C38" i="9" s="1"/>
  <c r="D38" i="9" s="1"/>
  <c r="E38" i="9" s="1"/>
  <c r="F38" i="9" s="1"/>
  <c r="G38" i="9" s="1"/>
  <c r="G5" i="4"/>
  <c r="F9" i="4"/>
  <c r="E17" i="4" s="1"/>
  <c r="E28" i="4"/>
  <c r="H28" i="4" s="1"/>
  <c r="E36" i="4"/>
  <c r="H36" i="4" s="1"/>
  <c r="E44" i="4"/>
  <c r="H44" i="4" s="1"/>
  <c r="G6" i="1" l="1"/>
  <c r="B8" i="1"/>
  <c r="G8" i="1" s="1"/>
  <c r="O11" i="12"/>
  <c r="C33" i="9"/>
  <c r="C8" i="16" s="1"/>
  <c r="O27" i="12"/>
  <c r="O26" i="12"/>
  <c r="C22" i="16" s="1"/>
  <c r="O12" i="12"/>
  <c r="O9" i="9"/>
  <c r="C16" i="9" s="1"/>
  <c r="D16" i="9" s="1"/>
  <c r="E16" i="9" s="1"/>
  <c r="F16" i="9" s="1"/>
  <c r="G16" i="9" s="1"/>
  <c r="C12" i="13"/>
  <c r="F27" i="11"/>
  <c r="E27" i="11"/>
  <c r="D27" i="11"/>
  <c r="M20" i="11"/>
  <c r="E20" i="11"/>
  <c r="E26" i="11"/>
  <c r="C20" i="11"/>
  <c r="F20" i="11"/>
  <c r="N20" i="11"/>
  <c r="O19" i="11"/>
  <c r="L20" i="11"/>
  <c r="D20" i="11"/>
  <c r="K20" i="11"/>
  <c r="J20" i="11"/>
  <c r="I20" i="11"/>
  <c r="H20" i="11"/>
  <c r="G20" i="11"/>
  <c r="O18" i="11"/>
  <c r="O25" i="12"/>
  <c r="C21" i="16" s="1"/>
  <c r="D34" i="9"/>
  <c r="E34" i="9" s="1"/>
  <c r="F34" i="9" s="1"/>
  <c r="G34" i="9" s="1"/>
  <c r="C10" i="9"/>
  <c r="C14" i="12" s="1"/>
  <c r="C17" i="12" s="1"/>
  <c r="H17" i="4"/>
  <c r="E11" i="4"/>
  <c r="E39" i="4"/>
  <c r="E42" i="4"/>
  <c r="E34" i="4"/>
  <c r="E22" i="16" s="1"/>
  <c r="E23" i="16" s="1"/>
  <c r="E26" i="4"/>
  <c r="E18" i="4"/>
  <c r="E20" i="4"/>
  <c r="E23" i="4"/>
  <c r="E37" i="4"/>
  <c r="E40" i="4"/>
  <c r="E32" i="4"/>
  <c r="E24" i="4"/>
  <c r="E16" i="4"/>
  <c r="E12" i="4"/>
  <c r="E31" i="4"/>
  <c r="E35" i="4"/>
  <c r="E27" i="4"/>
  <c r="E19" i="4"/>
  <c r="E10" i="4"/>
  <c r="E45" i="4"/>
  <c r="E43" i="4"/>
  <c r="E38" i="4"/>
  <c r="E30" i="4"/>
  <c r="E22" i="4"/>
  <c r="E14" i="4"/>
  <c r="D10" i="4"/>
  <c r="E29" i="4"/>
  <c r="E21" i="4"/>
  <c r="D22" i="16" s="1"/>
  <c r="D23" i="16" s="1"/>
  <c r="E13" i="4"/>
  <c r="E41" i="4"/>
  <c r="E33" i="4"/>
  <c r="E25" i="4"/>
  <c r="C23" i="16" l="1"/>
  <c r="D33" i="9"/>
  <c r="D26" i="9"/>
  <c r="E26" i="9"/>
  <c r="E28" i="9" s="1"/>
  <c r="E15" i="12" s="1"/>
  <c r="C10" i="4"/>
  <c r="F10" i="4" s="1"/>
  <c r="H10" i="4"/>
  <c r="H23" i="4"/>
  <c r="H33" i="4"/>
  <c r="H14" i="4"/>
  <c r="H43" i="4"/>
  <c r="H19" i="4"/>
  <c r="H39" i="4"/>
  <c r="H31" i="4"/>
  <c r="H32" i="4"/>
  <c r="H34" i="4"/>
  <c r="H11" i="4"/>
  <c r="H16" i="4"/>
  <c r="H25" i="4"/>
  <c r="H22" i="4"/>
  <c r="H45" i="4"/>
  <c r="H27" i="4"/>
  <c r="H12" i="4"/>
  <c r="H20" i="4"/>
  <c r="H38" i="4"/>
  <c r="H13" i="4"/>
  <c r="H15" i="4"/>
  <c r="H40" i="4"/>
  <c r="H21" i="4"/>
  <c r="H37" i="4"/>
  <c r="H29" i="4"/>
  <c r="H26" i="4"/>
  <c r="H24" i="4"/>
  <c r="H41" i="4"/>
  <c r="H30" i="4"/>
  <c r="H35" i="4"/>
  <c r="H18" i="4"/>
  <c r="H42" i="4"/>
  <c r="E33" i="9" l="1"/>
  <c r="D8" i="16"/>
  <c r="D28" i="9"/>
  <c r="D15" i="12" s="1"/>
  <c r="F26" i="9"/>
  <c r="F28" i="9" s="1"/>
  <c r="F15" i="12" s="1"/>
  <c r="D11" i="4"/>
  <c r="E8" i="16" l="1"/>
  <c r="F33" i="9"/>
  <c r="G26" i="9"/>
  <c r="C11" i="4"/>
  <c r="F11" i="4" s="1"/>
  <c r="G33" i="9" l="1"/>
  <c r="G8" i="16" s="1"/>
  <c r="F8" i="16"/>
  <c r="G28" i="9"/>
  <c r="G15" i="12" s="1"/>
  <c r="H26" i="9"/>
  <c r="H28" i="9" s="1"/>
  <c r="H15" i="12" s="1"/>
  <c r="D12" i="4"/>
  <c r="I26" i="9" l="1"/>
  <c r="I28" i="9" s="1"/>
  <c r="I15" i="12" s="1"/>
  <c r="C12" i="4"/>
  <c r="F12" i="4" s="1"/>
  <c r="J26" i="9" l="1"/>
  <c r="J28" i="9" s="1"/>
  <c r="J15" i="12" s="1"/>
  <c r="D13" i="4"/>
  <c r="K26" i="9" l="1"/>
  <c r="K28" i="9" s="1"/>
  <c r="K15" i="12" s="1"/>
  <c r="C13" i="4"/>
  <c r="F13" i="4" s="1"/>
  <c r="L26" i="9" l="1"/>
  <c r="L28" i="9" s="1"/>
  <c r="L15" i="12" s="1"/>
  <c r="O4" i="11"/>
  <c r="D14" i="4"/>
  <c r="C14" i="4" s="1"/>
  <c r="F14" i="4" s="1"/>
  <c r="C11" i="11" l="1"/>
  <c r="C25" i="11" s="1"/>
  <c r="M26" i="9"/>
  <c r="M28" i="9" s="1"/>
  <c r="M15" i="12" s="1"/>
  <c r="C15" i="9"/>
  <c r="D11" i="11"/>
  <c r="D25" i="11" s="1"/>
  <c r="C15" i="4"/>
  <c r="F15" i="4" s="1"/>
  <c r="D9" i="16" l="1"/>
  <c r="D15" i="9"/>
  <c r="E15" i="9" s="1"/>
  <c r="F15" i="9" s="1"/>
  <c r="G15" i="9" s="1"/>
  <c r="D28" i="11"/>
  <c r="E11" i="11"/>
  <c r="E25" i="11" s="1"/>
  <c r="N26" i="9"/>
  <c r="O17" i="11"/>
  <c r="D16" i="4"/>
  <c r="C16" i="4" s="1"/>
  <c r="F16" i="4" s="1"/>
  <c r="D6" i="12"/>
  <c r="C6" i="12"/>
  <c r="E9" i="16" l="1"/>
  <c r="E28" i="11"/>
  <c r="O20" i="11"/>
  <c r="N28" i="9"/>
  <c r="O26" i="9"/>
  <c r="C37" i="9" s="1"/>
  <c r="D10" i="16" s="1"/>
  <c r="D14" i="9"/>
  <c r="F9" i="16"/>
  <c r="F11" i="11"/>
  <c r="F25" i="11" s="1"/>
  <c r="D17" i="4"/>
  <c r="C17" i="4" s="1"/>
  <c r="F17" i="4" s="1"/>
  <c r="E6" i="12"/>
  <c r="D8" i="12"/>
  <c r="F28" i="11" l="1"/>
  <c r="B14" i="15"/>
  <c r="D17" i="9"/>
  <c r="O28" i="9"/>
  <c r="O15" i="12" s="1"/>
  <c r="N15" i="12"/>
  <c r="E14" i="9"/>
  <c r="D37" i="9"/>
  <c r="C39" i="9"/>
  <c r="D39" i="9" s="1"/>
  <c r="E39" i="9" s="1"/>
  <c r="F39" i="9" s="1"/>
  <c r="G39" i="9" s="1"/>
  <c r="G11" i="11"/>
  <c r="G25" i="11" s="1"/>
  <c r="G9" i="16"/>
  <c r="D18" i="4"/>
  <c r="C18" i="4" s="1"/>
  <c r="F18" i="4" s="1"/>
  <c r="F6" i="12"/>
  <c r="C10" i="16" l="1"/>
  <c r="G28" i="11"/>
  <c r="E37" i="9"/>
  <c r="E10" i="16"/>
  <c r="E17" i="9"/>
  <c r="F14" i="9"/>
  <c r="D10" i="9"/>
  <c r="D14" i="12" s="1"/>
  <c r="D19" i="4"/>
  <c r="C19" i="4" s="1"/>
  <c r="F19" i="4" s="1"/>
  <c r="C8" i="12"/>
  <c r="C19" i="12" s="1"/>
  <c r="C29" i="12" s="1"/>
  <c r="C33" i="12" s="1"/>
  <c r="G6" i="12"/>
  <c r="D17" i="12" l="1"/>
  <c r="D19" i="12" s="1"/>
  <c r="D29" i="12" s="1"/>
  <c r="D33" i="12" s="1"/>
  <c r="F37" i="9"/>
  <c r="F10" i="16"/>
  <c r="F17" i="9"/>
  <c r="G14" i="9"/>
  <c r="G17" i="9" s="1"/>
  <c r="F10" i="9"/>
  <c r="F14" i="12" s="1"/>
  <c r="F17" i="12" s="1"/>
  <c r="D20" i="4"/>
  <c r="C20" i="4" s="1"/>
  <c r="F20" i="4" s="1"/>
  <c r="F8" i="12"/>
  <c r="G37" i="9" l="1"/>
  <c r="G10" i="16"/>
  <c r="F19" i="12"/>
  <c r="F29" i="12" s="1"/>
  <c r="D21" i="4"/>
  <c r="K11" i="4" s="1"/>
  <c r="G8" i="12"/>
  <c r="E8" i="12"/>
  <c r="H6" i="12"/>
  <c r="I6" i="12"/>
  <c r="E10" i="9" l="1"/>
  <c r="E14" i="12" s="1"/>
  <c r="G10" i="9"/>
  <c r="G14" i="12" s="1"/>
  <c r="C21" i="4"/>
  <c r="F21" i="4" s="1"/>
  <c r="J6" i="12"/>
  <c r="G17" i="12" l="1"/>
  <c r="G19" i="12" s="1"/>
  <c r="G29" i="12" s="1"/>
  <c r="E17" i="12"/>
  <c r="E19" i="12" s="1"/>
  <c r="E29" i="12" s="1"/>
  <c r="E33" i="12" s="1"/>
  <c r="F33" i="12" s="1"/>
  <c r="G33" i="12" s="1"/>
  <c r="D22" i="4"/>
  <c r="K6" i="12"/>
  <c r="H10" i="9"/>
  <c r="H14" i="12" s="1"/>
  <c r="H17" i="12" s="1"/>
  <c r="I8" i="12"/>
  <c r="I10" i="9" l="1"/>
  <c r="I14" i="12" s="1"/>
  <c r="C22" i="4"/>
  <c r="F22" i="4" s="1"/>
  <c r="L6" i="12"/>
  <c r="H8" i="12"/>
  <c r="H19" i="12" s="1"/>
  <c r="H29" i="12" s="1"/>
  <c r="H33" i="12" s="1"/>
  <c r="I17" i="12" l="1"/>
  <c r="I19" i="12" s="1"/>
  <c r="I29" i="12" s="1"/>
  <c r="I33" i="12" s="1"/>
  <c r="D23" i="4"/>
  <c r="K8" i="12"/>
  <c r="M6" i="12"/>
  <c r="J10" i="9" l="1"/>
  <c r="J14" i="12" s="1"/>
  <c r="J17" i="12" s="1"/>
  <c r="K10" i="9"/>
  <c r="K14" i="12" s="1"/>
  <c r="C23" i="4"/>
  <c r="F23" i="4" s="1"/>
  <c r="J8" i="12"/>
  <c r="K17" i="12" l="1"/>
  <c r="K19" i="12" s="1"/>
  <c r="K29" i="12" s="1"/>
  <c r="J19" i="12"/>
  <c r="J29" i="12" s="1"/>
  <c r="J33" i="12" s="1"/>
  <c r="D24" i="4"/>
  <c r="L8" i="12"/>
  <c r="M8" i="12"/>
  <c r="N6" i="12"/>
  <c r="L10" i="9"/>
  <c r="L14" i="12" s="1"/>
  <c r="L17" i="12" s="1"/>
  <c r="K33" i="12" l="1"/>
  <c r="L19" i="12"/>
  <c r="L29" i="12" s="1"/>
  <c r="L33" i="12" s="1"/>
  <c r="M10" i="9"/>
  <c r="M14" i="12" s="1"/>
  <c r="C24" i="4"/>
  <c r="F24" i="4" s="1"/>
  <c r="O6" i="12"/>
  <c r="M17" i="12" l="1"/>
  <c r="M19" i="12" s="1"/>
  <c r="M29" i="12" s="1"/>
  <c r="M33" i="12" s="1"/>
  <c r="D7" i="13"/>
  <c r="C6" i="16"/>
  <c r="C11" i="16" s="1"/>
  <c r="D25" i="4"/>
  <c r="F7" i="13" l="1"/>
  <c r="E6" i="16"/>
  <c r="E11" i="16" s="1"/>
  <c r="F6" i="16"/>
  <c r="F11" i="16" s="1"/>
  <c r="D6" i="16"/>
  <c r="D11" i="16" s="1"/>
  <c r="E7" i="13"/>
  <c r="G7" i="13"/>
  <c r="G6" i="16"/>
  <c r="G11" i="16" s="1"/>
  <c r="H7" i="13"/>
  <c r="C25" i="4"/>
  <c r="F25" i="4" s="1"/>
  <c r="D26" i="4" l="1"/>
  <c r="O8" i="12"/>
  <c r="N8" i="12"/>
  <c r="N10" i="9" l="1"/>
  <c r="C26" i="4"/>
  <c r="F26" i="4" s="1"/>
  <c r="N14" i="12" l="1"/>
  <c r="C14" i="9"/>
  <c r="O10" i="9"/>
  <c r="O14" i="12" s="1"/>
  <c r="O17" i="12" s="1"/>
  <c r="D27" i="4"/>
  <c r="C27" i="4" s="1"/>
  <c r="F27" i="4" s="1"/>
  <c r="G13" i="16"/>
  <c r="N19" i="12" l="1"/>
  <c r="N29" i="12" s="1"/>
  <c r="N33" i="12" s="1"/>
  <c r="O33" i="12" s="1"/>
  <c r="N17" i="12"/>
  <c r="B6" i="15"/>
  <c r="B7" i="15" s="1"/>
  <c r="H8" i="13"/>
  <c r="H12" i="13" s="1"/>
  <c r="G15" i="16"/>
  <c r="G25" i="16" s="1"/>
  <c r="C9" i="16"/>
  <c r="D8" i="13" s="1"/>
  <c r="O19" i="12"/>
  <c r="O29" i="12" s="1"/>
  <c r="C17" i="9"/>
  <c r="D28" i="4"/>
  <c r="C28" i="4" s="1"/>
  <c r="F28" i="4" s="1"/>
  <c r="C15" i="16" l="1"/>
  <c r="C25" i="16" s="1"/>
  <c r="C29" i="16" s="1"/>
  <c r="D12" i="13"/>
  <c r="D29" i="4"/>
  <c r="C29" i="4" s="1"/>
  <c r="F29" i="4" s="1"/>
  <c r="D30" i="4" l="1"/>
  <c r="C30" i="4" s="1"/>
  <c r="F30" i="4" s="1"/>
  <c r="D13" i="16" l="1"/>
  <c r="D31" i="4"/>
  <c r="C31" i="4" s="1"/>
  <c r="F31" i="4" s="1"/>
  <c r="B15" i="15" l="1"/>
  <c r="B16" i="15"/>
  <c r="C16" i="15" s="1"/>
  <c r="D16" i="15" s="1"/>
  <c r="E16" i="15" s="1"/>
  <c r="B9" i="15"/>
  <c r="D15" i="16"/>
  <c r="D25" i="16" s="1"/>
  <c r="D29" i="16" s="1"/>
  <c r="E8" i="13"/>
  <c r="E12" i="13" s="1"/>
  <c r="D32" i="4"/>
  <c r="C32" i="4" s="1"/>
  <c r="F32" i="4" s="1"/>
  <c r="D13" i="15" l="1"/>
  <c r="B10" i="15"/>
  <c r="D33" i="4"/>
  <c r="D14" i="15" l="1"/>
  <c r="E13" i="15"/>
  <c r="C13" i="15"/>
  <c r="D15" i="15"/>
  <c r="C33" i="4"/>
  <c r="F33" i="4" s="1"/>
  <c r="L11" i="4"/>
  <c r="C14" i="15" l="1"/>
  <c r="C15" i="15"/>
  <c r="E14" i="15"/>
  <c r="E15" i="15"/>
  <c r="D34" i="4"/>
  <c r="E13" i="16"/>
  <c r="F8" i="13" l="1"/>
  <c r="F12" i="13" s="1"/>
  <c r="E15" i="16"/>
  <c r="E25" i="16" s="1"/>
  <c r="E29" i="16" s="1"/>
  <c r="C34" i="4"/>
  <c r="F34" i="4" s="1"/>
  <c r="D35" i="4" l="1"/>
  <c r="C35" i="4" l="1"/>
  <c r="F35" i="4" s="1"/>
  <c r="D36" i="4" l="1"/>
  <c r="C36" i="4" l="1"/>
  <c r="F36" i="4" s="1"/>
  <c r="D37" i="4" l="1"/>
  <c r="C37" i="4" l="1"/>
  <c r="F37" i="4" s="1"/>
  <c r="D38" i="4" l="1"/>
  <c r="C38" i="4" l="1"/>
  <c r="F38" i="4" s="1"/>
  <c r="D39" i="4" l="1"/>
  <c r="C39" i="4" s="1"/>
  <c r="F39" i="4" s="1"/>
  <c r="D40" i="4" l="1"/>
  <c r="C40" i="4" s="1"/>
  <c r="F40" i="4" s="1"/>
  <c r="D41" i="4" l="1"/>
  <c r="C41" i="4" s="1"/>
  <c r="F41" i="4" s="1"/>
  <c r="D42" i="4" l="1"/>
  <c r="C42" i="4" s="1"/>
  <c r="F42" i="4" s="1"/>
  <c r="D43" i="4" l="1"/>
  <c r="C43" i="4" s="1"/>
  <c r="F43" i="4" s="1"/>
  <c r="D44" i="4" l="1"/>
  <c r="C44" i="4" s="1"/>
  <c r="F44" i="4" s="1"/>
  <c r="D45" i="4" l="1"/>
  <c r="C45" i="4" l="1"/>
  <c r="F45" i="4" s="1"/>
  <c r="M11" i="4"/>
  <c r="F13" i="16" l="1"/>
  <c r="G8" i="13" l="1"/>
  <c r="G12" i="13" s="1"/>
  <c r="F15" i="16"/>
  <c r="F25" i="16" l="1"/>
  <c r="F29" i="16" s="1"/>
  <c r="G29" i="16" s="1"/>
  <c r="I12" i="13"/>
  <c r="C17" i="13" s="1"/>
  <c r="C19" i="13" l="1"/>
</calcChain>
</file>

<file path=xl/sharedStrings.xml><?xml version="1.0" encoding="utf-8"?>
<sst xmlns="http://schemas.openxmlformats.org/spreadsheetml/2006/main" count="313" uniqueCount="148">
  <si>
    <t>AÑO</t>
  </si>
  <si>
    <t>AÑO 1</t>
  </si>
  <si>
    <t>AÑO 2</t>
  </si>
  <si>
    <t>AÑO 3</t>
  </si>
  <si>
    <t>AÑO 4</t>
  </si>
  <si>
    <t>AÑO 5</t>
  </si>
  <si>
    <t>TOTAL</t>
  </si>
  <si>
    <t>OBJETIVOS FINANCIEROS AÑO A AÑO</t>
  </si>
  <si>
    <t>UTILIDAD MARGINAL</t>
  </si>
  <si>
    <t>PORCENTAJE</t>
  </si>
  <si>
    <t>UTILIDAD DESPUES DE IMPUESTOS</t>
  </si>
  <si>
    <t>INVERSION INICIAL</t>
  </si>
  <si>
    <t>Maquinaria y equipos</t>
  </si>
  <si>
    <t>Decoración restaurante</t>
  </si>
  <si>
    <t xml:space="preserve">Adecuación restaurante </t>
  </si>
  <si>
    <t>Arriendo local</t>
  </si>
  <si>
    <t>Software facturación</t>
  </si>
  <si>
    <t>Materia prima</t>
  </si>
  <si>
    <t>Publicidad</t>
  </si>
  <si>
    <t>Sayco y acinpro</t>
  </si>
  <si>
    <t>Registro sanitario</t>
  </si>
  <si>
    <t>Registro cámara y comercio</t>
  </si>
  <si>
    <t>52.540.000</t>
  </si>
  <si>
    <t>10.300.000</t>
  </si>
  <si>
    <t>18.500.000</t>
  </si>
  <si>
    <t>3.000.000</t>
  </si>
  <si>
    <t>350.000</t>
  </si>
  <si>
    <t>23.218.500</t>
  </si>
  <si>
    <t>2.500.000</t>
  </si>
  <si>
    <t>2.278.300</t>
  </si>
  <si>
    <t>1,665.812</t>
  </si>
  <si>
    <t>250.000</t>
  </si>
  <si>
    <t>114.602.612</t>
  </si>
  <si>
    <t>MONTO</t>
  </si>
  <si>
    <t>INTERES ANUAL</t>
  </si>
  <si>
    <t>CUOTAS</t>
  </si>
  <si>
    <t>INTERES MES</t>
  </si>
  <si>
    <t>GRACIA DE CAPITAL</t>
  </si>
  <si>
    <t>CAPITAL</t>
  </si>
  <si>
    <t>INTERES</t>
  </si>
  <si>
    <t>IMPORTE DE CUOTA</t>
  </si>
  <si>
    <t>SALDO</t>
  </si>
  <si>
    <t>IVA SOBRE INTERES</t>
  </si>
  <si>
    <t>IMPORTE TOTAL A PAGAR</t>
  </si>
  <si>
    <t>CAFÉ TIPO GOURMET</t>
  </si>
  <si>
    <t>PRESTAMO LION HOUSE DC</t>
  </si>
  <si>
    <t>TOTAL OTROS GASTOS</t>
  </si>
  <si>
    <t>VARIOS</t>
  </si>
  <si>
    <t>IMPUESTOS Y TASAS</t>
  </si>
  <si>
    <t>GASTOS POR MANTENIMIENTO</t>
  </si>
  <si>
    <t>PUBLICIDAD</t>
  </si>
  <si>
    <t>SUELDOS COMERCIALES</t>
  </si>
  <si>
    <t xml:space="preserve">SUELDOS DE ADMINISTRACION </t>
  </si>
  <si>
    <t>OTROS GASTOS</t>
  </si>
  <si>
    <t>MES 12</t>
  </si>
  <si>
    <t>MES 11</t>
  </si>
  <si>
    <t>MES 10</t>
  </si>
  <si>
    <t>MES 9</t>
  </si>
  <si>
    <t>MES 8</t>
  </si>
  <si>
    <t>MES 7</t>
  </si>
  <si>
    <t>MES 6</t>
  </si>
  <si>
    <t>MES 5</t>
  </si>
  <si>
    <t>MES 4</t>
  </si>
  <si>
    <t>MES 3</t>
  </si>
  <si>
    <t>MES 2</t>
  </si>
  <si>
    <t>MES 1</t>
  </si>
  <si>
    <t>TOTAL GASTOS DE PRODUCCION</t>
  </si>
  <si>
    <t>AMORTIZACION BIENES DE USO</t>
  </si>
  <si>
    <t>MATERIAS PRIMAS E INSUMOS</t>
  </si>
  <si>
    <t>GASTOS DE PRODUCCION</t>
  </si>
  <si>
    <t>SERVICIO DE PREPARACION</t>
  </si>
  <si>
    <t>STOCK EN PESOS</t>
  </si>
  <si>
    <t>COSTO UNITARIO</t>
  </si>
  <si>
    <t>STOCK</t>
  </si>
  <si>
    <t>UNIDAD DE MEDIDA</t>
  </si>
  <si>
    <t>STOCK DE PRODUCTOS TERMINADOS</t>
  </si>
  <si>
    <t>#</t>
  </si>
  <si>
    <t>VENTAS PROYECTADAS</t>
  </si>
  <si>
    <t>PRODUCCION PLANEADA</t>
  </si>
  <si>
    <t>STOCK INICIAL</t>
  </si>
  <si>
    <t>PLAN DE PRODUCCION</t>
  </si>
  <si>
    <t>COSTO MP E INSUMOS</t>
  </si>
  <si>
    <t>COSTO MP E INSUMOS PESOS</t>
  </si>
  <si>
    <t>TOTAL VENTAS EN PESOS</t>
  </si>
  <si>
    <t>VENTAS ANUALES EN PESOS</t>
  </si>
  <si>
    <t>VENTAS EN $ AÑO 1</t>
  </si>
  <si>
    <t xml:space="preserve">VENTAS EN UNIDADES </t>
  </si>
  <si>
    <t>VENTAS EN UNIDADES AÑO 1</t>
  </si>
  <si>
    <t>flujo de fondos</t>
  </si>
  <si>
    <t>aporte del emprendedor</t>
  </si>
  <si>
    <t>diferencia egresos e ingresos</t>
  </si>
  <si>
    <t>total flujo financiero</t>
  </si>
  <si>
    <t>devolucion prestamo</t>
  </si>
  <si>
    <t>PRESTAMO</t>
  </si>
  <si>
    <t>FLUJO FINANCIERO</t>
  </si>
  <si>
    <t>inversiones</t>
  </si>
  <si>
    <t>diferencia operativa</t>
  </si>
  <si>
    <t>total egresos operativos</t>
  </si>
  <si>
    <t>otros gastos de admin y ventas</t>
  </si>
  <si>
    <t>otros gastos de produccion</t>
  </si>
  <si>
    <t>comerciales</t>
  </si>
  <si>
    <t>administracion</t>
  </si>
  <si>
    <t>sueldos y cargas</t>
  </si>
  <si>
    <t>egresos por compras m. p</t>
  </si>
  <si>
    <t>ingresos por ventas</t>
  </si>
  <si>
    <t>MES 13</t>
  </si>
  <si>
    <t>FLUJO DE FONDOS</t>
  </si>
  <si>
    <t>Promedio anual TIR</t>
  </si>
  <si>
    <t>VALOR ACTUAL NETO</t>
  </si>
  <si>
    <t>DIFERENCIA OPERATIVA</t>
  </si>
  <si>
    <t xml:space="preserve">INVERSION </t>
  </si>
  <si>
    <t>EGRESOS OPERATIVOS</t>
  </si>
  <si>
    <t>INGRESOS POR VENTAS</t>
  </si>
  <si>
    <t>AÑO 0</t>
  </si>
  <si>
    <t>FLUJO DEL PROYECTO</t>
  </si>
  <si>
    <t>tasa de ganacia requerida</t>
  </si>
  <si>
    <t>diferencia ingresos-egresos</t>
  </si>
  <si>
    <t>devolucion del prestamo</t>
  </si>
  <si>
    <t>prestamo</t>
  </si>
  <si>
    <t>flujo financiero</t>
  </si>
  <si>
    <t>impuesto a las ganacias</t>
  </si>
  <si>
    <t>otros gastos admin y ventas</t>
  </si>
  <si>
    <t xml:space="preserve">otros gastos de produccion </t>
  </si>
  <si>
    <t xml:space="preserve">sueldos y cargos </t>
  </si>
  <si>
    <t>PLATOS FUERTES</t>
  </si>
  <si>
    <t>ENTRADAS</t>
  </si>
  <si>
    <t>BEBIDAS</t>
  </si>
  <si>
    <t>Precio promedio</t>
  </si>
  <si>
    <t>Costo var promedio</t>
  </si>
  <si>
    <t>Contribucion marginal</t>
  </si>
  <si>
    <t>Costo fijo</t>
  </si>
  <si>
    <t>Equilibrio unidades</t>
  </si>
  <si>
    <t>Equilibrio pesos</t>
  </si>
  <si>
    <t>Unidades</t>
  </si>
  <si>
    <t>Ventas</t>
  </si>
  <si>
    <t>Costo total</t>
  </si>
  <si>
    <t>Platos fuertes</t>
  </si>
  <si>
    <t>Entradas</t>
  </si>
  <si>
    <t>Bebidas</t>
  </si>
  <si>
    <t>TASA INTERNA DE RETORNO</t>
  </si>
  <si>
    <t>PLAN DE PRODUCCION LION HOUSE DC</t>
  </si>
  <si>
    <t>INGRESOS LION HOUSE DC</t>
  </si>
  <si>
    <t>FLUJO DE CAJA LION HOUSE DC</t>
  </si>
  <si>
    <t>ANALISIS RENTABILIDAD LION HOUSE DC</t>
  </si>
  <si>
    <t>ESTADO DE PERDIDAS Y GANANCIAS LION HOUSE DC</t>
  </si>
  <si>
    <t>LION HOUSE DC</t>
  </si>
  <si>
    <t>INGRESOS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</si>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</sst>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&quot;$&quot;\ * #,##0_-;\-&quot;$&quot;\ * #,##0_-;_-&quot;$&quot;\ * &quot;-&quot;_-;_-@_-"/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_(* #.##0.00_);_(* \(#.##0.00\);_(* &quot;-&quot;??_);_(@_)"/>
    <numFmt numFmtId="167" formatCode="_(* #.##._);_(* \(#.##.\);_(* &quot;-&quot;??_);_(@_ⴆ"/>
    <numFmt numFmtId="175" formatCode="_-* #.###._-;\-* #.###._-;_-* &quot;-&quot;_-;_-@_ⴆ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32">
    <xf numFmtId="0" fontId="0" fillId="0" borderId="0" xfId="0"/>
    <xf numFmtId="0" fontId="0" fillId="0" borderId="1" xfId="0" applyBorder="1"/>
    <xf numFmtId="0" fontId="0" fillId="0" borderId="0" xfId="0" applyFont="1" applyBorder="1"/>
    <xf numFmtId="0" fontId="0" fillId="0" borderId="1" xfId="0" applyFont="1" applyBorder="1"/>
    <xf numFmtId="0" fontId="0" fillId="0" borderId="0" xfId="0" applyAlignment="1">
      <alignment wrapText="1"/>
    </xf>
    <xf numFmtId="42" fontId="0" fillId="0" borderId="0" xfId="2" applyFont="1"/>
    <xf numFmtId="9" fontId="0" fillId="0" borderId="0" xfId="3" applyFont="1"/>
    <xf numFmtId="42" fontId="0" fillId="0" borderId="1" xfId="2" applyFont="1" applyBorder="1"/>
    <xf numFmtId="9" fontId="0" fillId="0" borderId="1" xfId="0" applyNumberFormat="1" applyBorder="1"/>
    <xf numFmtId="0" fontId="0" fillId="0" borderId="0" xfId="0" applyBorder="1"/>
    <xf numFmtId="42" fontId="0" fillId="0" borderId="0" xfId="0" applyNumberFormat="1"/>
    <xf numFmtId="165" fontId="0" fillId="0" borderId="0" xfId="4" applyNumberFormat="1" applyFont="1"/>
    <xf numFmtId="164" fontId="0" fillId="0" borderId="1" xfId="4" applyNumberFormat="1" applyFont="1" applyBorder="1"/>
    <xf numFmtId="165" fontId="0" fillId="0" borderId="1" xfId="4" applyNumberFormat="1" applyFont="1" applyBorder="1"/>
    <xf numFmtId="165" fontId="0" fillId="0" borderId="0" xfId="0" applyNumberFormat="1"/>
    <xf numFmtId="41" fontId="0" fillId="0" borderId="0" xfId="1" applyFont="1"/>
    <xf numFmtId="165" fontId="2" fillId="0" borderId="0" xfId="4" applyNumberFormat="1" applyFont="1"/>
    <xf numFmtId="0" fontId="0" fillId="0" borderId="4" xfId="0" applyBorder="1"/>
    <xf numFmtId="0" fontId="2" fillId="0" borderId="1" xfId="0" applyFont="1" applyBorder="1"/>
    <xf numFmtId="165" fontId="2" fillId="0" borderId="1" xfId="4" applyNumberFormat="1" applyFont="1" applyBorder="1"/>
    <xf numFmtId="9" fontId="2" fillId="0" borderId="1" xfId="3" applyFont="1" applyBorder="1"/>
    <xf numFmtId="10" fontId="2" fillId="0" borderId="1" xfId="3" applyNumberFormat="1" applyFont="1" applyBorder="1"/>
    <xf numFmtId="0" fontId="2" fillId="0" borderId="1" xfId="0" applyFont="1" applyBorder="1" applyAlignment="1">
      <alignment wrapText="1"/>
    </xf>
    <xf numFmtId="165" fontId="2" fillId="0" borderId="1" xfId="4" applyNumberFormat="1" applyFont="1" applyBorder="1" applyAlignment="1">
      <alignment wrapText="1"/>
    </xf>
    <xf numFmtId="165" fontId="0" fillId="0" borderId="0" xfId="4" applyNumberFormat="1" applyFont="1" applyBorder="1"/>
    <xf numFmtId="41" fontId="0" fillId="0" borderId="1" xfId="1" applyFont="1" applyBorder="1"/>
    <xf numFmtId="165" fontId="0" fillId="0" borderId="0" xfId="5" applyNumberFormat="1" applyFont="1"/>
    <xf numFmtId="165" fontId="2" fillId="0" borderId="0" xfId="5" applyNumberFormat="1" applyFont="1"/>
    <xf numFmtId="165" fontId="2" fillId="0" borderId="1" xfId="5" applyNumberFormat="1" applyFont="1" applyBorder="1"/>
    <xf numFmtId="165" fontId="0" fillId="0" borderId="1" xfId="5" applyNumberFormat="1" applyFont="1" applyBorder="1"/>
    <xf numFmtId="165" fontId="2" fillId="0" borderId="1" xfId="5" applyNumberFormat="1" applyFont="1" applyBorder="1" applyAlignment="1">
      <alignment wrapText="1"/>
    </xf>
    <xf numFmtId="165" fontId="2" fillId="0" borderId="1" xfId="5" applyNumberFormat="1" applyFont="1" applyBorder="1" applyAlignment="1"/>
    <xf numFmtId="165" fontId="2" fillId="0" borderId="1" xfId="5" applyNumberFormat="1" applyFont="1" applyBorder="1" applyAlignment="1">
      <alignment horizontal="center" wrapText="1"/>
    </xf>
    <xf numFmtId="164" fontId="0" fillId="0" borderId="1" xfId="0" applyNumberFormat="1" applyBorder="1"/>
    <xf numFmtId="166" fontId="2" fillId="0" borderId="6" xfId="6" applyFont="1" applyBorder="1" applyAlignment="1">
      <alignment horizontal="center" wrapText="1"/>
    </xf>
    <xf numFmtId="166" fontId="2" fillId="0" borderId="7" xfId="6" applyFont="1" applyBorder="1" applyAlignment="1">
      <alignment horizontal="center" wrapText="1"/>
    </xf>
    <xf numFmtId="166" fontId="2" fillId="0" borderId="8" xfId="6" applyFont="1" applyBorder="1" applyAlignment="1">
      <alignment horizontal="center" wrapText="1"/>
    </xf>
    <xf numFmtId="1" fontId="0" fillId="0" borderId="1" xfId="0" applyNumberFormat="1" applyBorder="1"/>
    <xf numFmtId="164" fontId="2" fillId="0" borderId="1" xfId="0" applyNumberFormat="1" applyFont="1" applyBorder="1"/>
    <xf numFmtId="166" fontId="2" fillId="0" borderId="1" xfId="6" applyFont="1" applyBorder="1" applyAlignment="1">
      <alignment horizontal="center" wrapText="1"/>
    </xf>
    <xf numFmtId="166" fontId="2" fillId="0" borderId="1" xfId="6" applyFont="1" applyBorder="1" applyAlignment="1"/>
    <xf numFmtId="166" fontId="2" fillId="0" borderId="7" xfId="6" applyFont="1" applyBorder="1" applyAlignment="1"/>
    <xf numFmtId="166" fontId="2" fillId="0" borderId="8" xfId="6" applyFont="1" applyBorder="1" applyAlignment="1">
      <alignment horizontal="center"/>
    </xf>
    <xf numFmtId="166" fontId="0" fillId="0" borderId="0" xfId="7" applyFont="1"/>
    <xf numFmtId="165" fontId="2" fillId="0" borderId="1" xfId="7" applyNumberFormat="1" applyFont="1" applyBorder="1"/>
    <xf numFmtId="166" fontId="2" fillId="0" borderId="1" xfId="7" applyFont="1" applyBorder="1"/>
    <xf numFmtId="165" fontId="0" fillId="0" borderId="1" xfId="7" applyNumberFormat="1" applyFont="1" applyBorder="1"/>
    <xf numFmtId="166" fontId="0" fillId="0" borderId="1" xfId="7" applyFont="1" applyBorder="1"/>
    <xf numFmtId="0" fontId="0" fillId="0" borderId="1" xfId="7" applyNumberFormat="1" applyFont="1" applyBorder="1"/>
    <xf numFmtId="166" fontId="2" fillId="0" borderId="6" xfId="7" applyFont="1" applyBorder="1" applyAlignment="1">
      <alignment horizontal="center" wrapText="1"/>
    </xf>
    <xf numFmtId="166" fontId="2" fillId="0" borderId="7" xfId="7" applyFont="1" applyBorder="1" applyAlignment="1">
      <alignment horizontal="center" wrapText="1"/>
    </xf>
    <xf numFmtId="166" fontId="2" fillId="0" borderId="7" xfId="7" applyFont="1" applyBorder="1" applyAlignment="1"/>
    <xf numFmtId="166" fontId="2" fillId="0" borderId="8" xfId="7" applyFont="1" applyBorder="1" applyAlignment="1">
      <alignment horizontal="center"/>
    </xf>
    <xf numFmtId="165" fontId="2" fillId="0" borderId="2" xfId="7" applyNumberFormat="1" applyFont="1" applyBorder="1"/>
    <xf numFmtId="166" fontId="2" fillId="0" borderId="2" xfId="7" applyFont="1" applyBorder="1"/>
    <xf numFmtId="166" fontId="0" fillId="0" borderId="2" xfId="7" applyFont="1" applyBorder="1"/>
    <xf numFmtId="165" fontId="0" fillId="0" borderId="1" xfId="7" applyNumberFormat="1" applyFont="1" applyBorder="1" applyAlignment="1">
      <alignment horizontal="center"/>
    </xf>
    <xf numFmtId="165" fontId="0" fillId="0" borderId="0" xfId="8" applyNumberFormat="1" applyFont="1"/>
    <xf numFmtId="165" fontId="2" fillId="0" borderId="0" xfId="8" applyNumberFormat="1" applyFont="1"/>
    <xf numFmtId="165" fontId="2" fillId="0" borderId="9" xfId="8" applyNumberFormat="1" applyFont="1" applyBorder="1"/>
    <xf numFmtId="165" fontId="2" fillId="0" borderId="10" xfId="8" applyNumberFormat="1" applyFont="1" applyBorder="1"/>
    <xf numFmtId="165" fontId="2" fillId="0" borderId="11" xfId="8" applyNumberFormat="1" applyFont="1" applyBorder="1"/>
    <xf numFmtId="165" fontId="0" fillId="0" borderId="12" xfId="8" applyNumberFormat="1" applyFont="1" applyBorder="1"/>
    <xf numFmtId="165" fontId="2" fillId="0" borderId="13" xfId="8" applyNumberFormat="1" applyFont="1" applyBorder="1"/>
    <xf numFmtId="165" fontId="0" fillId="0" borderId="1" xfId="8" applyNumberFormat="1" applyFont="1" applyBorder="1"/>
    <xf numFmtId="165" fontId="2" fillId="0" borderId="1" xfId="8" applyNumberFormat="1" applyFont="1" applyBorder="1"/>
    <xf numFmtId="165" fontId="0" fillId="0" borderId="0" xfId="8" applyNumberFormat="1" applyFont="1" applyAlignment="1">
      <alignment horizontal="center"/>
    </xf>
    <xf numFmtId="165" fontId="2" fillId="0" borderId="1" xfId="8" applyNumberFormat="1" applyFont="1" applyBorder="1" applyAlignment="1">
      <alignment wrapText="1"/>
    </xf>
    <xf numFmtId="165" fontId="2" fillId="0" borderId="1" xfId="8" applyNumberFormat="1" applyFont="1" applyBorder="1" applyAlignment="1"/>
    <xf numFmtId="166" fontId="0" fillId="0" borderId="0" xfId="9" applyFont="1"/>
    <xf numFmtId="10" fontId="0" fillId="0" borderId="0" xfId="9" applyNumberFormat="1" applyFont="1"/>
    <xf numFmtId="166" fontId="2" fillId="0" borderId="0" xfId="9" applyFont="1" applyAlignment="1">
      <alignment horizontal="center"/>
    </xf>
    <xf numFmtId="165" fontId="2" fillId="0" borderId="0" xfId="9" applyNumberFormat="1" applyFont="1"/>
    <xf numFmtId="166" fontId="2" fillId="0" borderId="0" xfId="9" applyFont="1"/>
    <xf numFmtId="166" fontId="2" fillId="0" borderId="1" xfId="9" applyFont="1" applyBorder="1"/>
    <xf numFmtId="166" fontId="2" fillId="0" borderId="15" xfId="9" applyFont="1" applyBorder="1" applyAlignment="1">
      <alignment horizontal="center" wrapText="1"/>
    </xf>
    <xf numFmtId="166" fontId="0" fillId="0" borderId="16" xfId="9" applyFont="1" applyBorder="1"/>
    <xf numFmtId="166" fontId="0" fillId="0" borderId="1" xfId="9" applyFont="1" applyBorder="1"/>
    <xf numFmtId="165" fontId="0" fillId="0" borderId="1" xfId="9" applyNumberFormat="1" applyFont="1" applyBorder="1"/>
    <xf numFmtId="165" fontId="2" fillId="0" borderId="1" xfId="9" applyNumberFormat="1" applyFont="1" applyBorder="1" applyAlignment="1">
      <alignment wrapText="1"/>
    </xf>
    <xf numFmtId="166" fontId="2" fillId="0" borderId="1" xfId="9" applyFont="1" applyBorder="1" applyAlignment="1">
      <alignment wrapText="1"/>
    </xf>
    <xf numFmtId="165" fontId="2" fillId="0" borderId="1" xfId="9" applyNumberFormat="1" applyFont="1" applyBorder="1" applyAlignment="1"/>
    <xf numFmtId="9" fontId="2" fillId="0" borderId="0" xfId="3" applyFont="1"/>
    <xf numFmtId="165" fontId="0" fillId="0" borderId="0" xfId="10" applyNumberFormat="1" applyFont="1"/>
    <xf numFmtId="165" fontId="2" fillId="0" borderId="0" xfId="10" applyNumberFormat="1" applyFont="1"/>
    <xf numFmtId="165" fontId="0" fillId="0" borderId="0" xfId="11" applyNumberFormat="1" applyFont="1"/>
    <xf numFmtId="165" fontId="2" fillId="0" borderId="2" xfId="11" applyNumberFormat="1" applyFont="1" applyBorder="1"/>
    <xf numFmtId="165" fontId="0" fillId="0" borderId="1" xfId="11" applyNumberFormat="1" applyFont="1" applyBorder="1"/>
    <xf numFmtId="165" fontId="2" fillId="0" borderId="1" xfId="11" applyNumberFormat="1" applyFont="1" applyBorder="1"/>
    <xf numFmtId="165" fontId="2" fillId="0" borderId="1" xfId="11" applyNumberFormat="1" applyFont="1" applyBorder="1" applyAlignment="1">
      <alignment horizontal="center"/>
    </xf>
    <xf numFmtId="165" fontId="2" fillId="0" borderId="5" xfId="11" applyNumberFormat="1" applyFont="1" applyBorder="1" applyAlignment="1">
      <alignment wrapText="1"/>
    </xf>
    <xf numFmtId="165" fontId="2" fillId="0" borderId="5" xfId="11" applyNumberFormat="1" applyFont="1" applyBorder="1" applyAlignment="1"/>
    <xf numFmtId="165" fontId="2" fillId="0" borderId="0" xfId="11" applyNumberFormat="1" applyFont="1"/>
    <xf numFmtId="1" fontId="0" fillId="0" borderId="4" xfId="0" applyNumberFormat="1" applyFill="1" applyBorder="1"/>
    <xf numFmtId="0" fontId="0" fillId="0" borderId="5" xfId="7" applyNumberFormat="1" applyFont="1" applyBorder="1"/>
    <xf numFmtId="166" fontId="0" fillId="0" borderId="5" xfId="7" applyFont="1" applyBorder="1"/>
    <xf numFmtId="165" fontId="0" fillId="0" borderId="5" xfId="7" applyNumberFormat="1" applyFont="1" applyBorder="1"/>
    <xf numFmtId="166" fontId="2" fillId="0" borderId="1" xfId="7" applyFont="1" applyBorder="1" applyAlignment="1">
      <alignment horizontal="center"/>
    </xf>
    <xf numFmtId="166" fontId="2" fillId="0" borderId="1" xfId="7" applyFont="1" applyBorder="1" applyAlignment="1"/>
    <xf numFmtId="166" fontId="2" fillId="0" borderId="1" xfId="7" applyFont="1" applyBorder="1" applyAlignment="1">
      <alignment horizontal="center" wrapText="1"/>
    </xf>
    <xf numFmtId="41" fontId="2" fillId="0" borderId="1" xfId="1" applyFont="1" applyBorder="1"/>
    <xf numFmtId="165" fontId="0" fillId="0" borderId="1" xfId="0" applyNumberFormat="1" applyBorder="1"/>
    <xf numFmtId="42" fontId="0" fillId="0" borderId="1" xfId="0" applyNumberFormat="1" applyBorder="1"/>
    <xf numFmtId="165" fontId="1" fillId="0" borderId="1" xfId="7" applyNumberFormat="1" applyFont="1" applyBorder="1"/>
    <xf numFmtId="165" fontId="0" fillId="2" borderId="0" xfId="8" applyNumberFormat="1" applyFont="1" applyFill="1"/>
    <xf numFmtId="166" fontId="0" fillId="3" borderId="1" xfId="7" applyFont="1" applyFill="1" applyBorder="1"/>
    <xf numFmtId="165" fontId="0" fillId="3" borderId="1" xfId="7" applyNumberFormat="1" applyFont="1" applyFill="1" applyBorder="1"/>
    <xf numFmtId="166" fontId="2" fillId="0" borderId="18" xfId="7" applyFont="1" applyBorder="1" applyAlignment="1">
      <alignment horizontal="center"/>
    </xf>
    <xf numFmtId="166" fontId="2" fillId="0" borderId="12" xfId="7" applyFont="1" applyBorder="1" applyAlignment="1"/>
    <xf numFmtId="166" fontId="2" fillId="0" borderId="12" xfId="7" applyFont="1" applyBorder="1" applyAlignment="1">
      <alignment horizontal="center" wrapText="1"/>
    </xf>
    <xf numFmtId="166" fontId="2" fillId="0" borderId="19" xfId="7" applyFont="1" applyBorder="1" applyAlignment="1">
      <alignment horizontal="center" wrapText="1"/>
    </xf>
    <xf numFmtId="0" fontId="0" fillId="4" borderId="1" xfId="0" applyFont="1" applyFill="1" applyBorder="1"/>
    <xf numFmtId="165" fontId="0" fillId="0" borderId="1" xfId="10" applyNumberFormat="1" applyFont="1" applyBorder="1"/>
    <xf numFmtId="165" fontId="2" fillId="4" borderId="1" xfId="8" applyNumberFormat="1" applyFont="1" applyFill="1" applyBorder="1"/>
    <xf numFmtId="165" fontId="2" fillId="0" borderId="0" xfId="8" applyNumberFormat="1" applyFont="1" applyBorder="1"/>
    <xf numFmtId="41" fontId="0" fillId="0" borderId="0" xfId="1" applyFont="1" applyBorder="1"/>
    <xf numFmtId="42" fontId="2" fillId="0" borderId="14" xfId="2" applyFont="1" applyBorder="1"/>
    <xf numFmtId="165" fontId="1" fillId="0" borderId="1" xfId="11" applyNumberFormat="1" applyFont="1" applyBorder="1"/>
    <xf numFmtId="165" fontId="1" fillId="0" borderId="0" xfId="7" applyNumberFormat="1" applyFont="1" applyBorder="1"/>
    <xf numFmtId="167" fontId="0" fillId="0" borderId="1" xfId="0" applyNumberFormat="1" applyBorder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2" borderId="17" xfId="0" applyFont="1" applyFill="1" applyBorder="1" applyAlignment="1">
      <alignment horizontal="center"/>
    </xf>
    <xf numFmtId="166" fontId="2" fillId="2" borderId="1" xfId="7" applyFont="1" applyFill="1" applyBorder="1" applyAlignment="1">
      <alignment horizontal="center"/>
    </xf>
    <xf numFmtId="165" fontId="2" fillId="2" borderId="16" xfId="5" applyNumberFormat="1" applyFont="1" applyFill="1" applyBorder="1" applyAlignment="1">
      <alignment horizontal="center"/>
    </xf>
    <xf numFmtId="165" fontId="0" fillId="2" borderId="20" xfId="5" applyNumberFormat="1" applyFont="1" applyFill="1" applyBorder="1" applyAlignment="1">
      <alignment horizontal="center"/>
    </xf>
    <xf numFmtId="165" fontId="0" fillId="2" borderId="21" xfId="5" applyNumberFormat="1" applyFont="1" applyFill="1" applyBorder="1" applyAlignment="1">
      <alignment horizontal="center"/>
    </xf>
    <xf numFmtId="165" fontId="2" fillId="2" borderId="3" xfId="8" applyNumberFormat="1" applyFont="1" applyFill="1" applyBorder="1" applyAlignment="1">
      <alignment horizontal="center"/>
    </xf>
    <xf numFmtId="166" fontId="2" fillId="2" borderId="3" xfId="9" applyFont="1" applyFill="1" applyBorder="1" applyAlignment="1">
      <alignment horizontal="center"/>
    </xf>
    <xf numFmtId="165" fontId="2" fillId="2" borderId="1" xfId="11" applyNumberFormat="1" applyFont="1" applyFill="1" applyBorder="1" applyAlignment="1">
      <alignment horizontal="center"/>
    </xf>
    <xf numFmtId="175" fontId="3" fillId="3" borderId="0" xfId="1" applyNumberFormat="1" applyFont="1" applyFill="1"/>
  </cellXfs>
  <cellStyles count="12">
    <cellStyle name="Millares [0]" xfId="1" builtinId="6"/>
    <cellStyle name="Millares 2" xfId="4"/>
    <cellStyle name="Millares 3" xfId="5"/>
    <cellStyle name="Millares 4" xfId="6"/>
    <cellStyle name="Millares 5" xfId="7"/>
    <cellStyle name="Millares 6" xfId="8"/>
    <cellStyle name="Millares 7" xfId="9"/>
    <cellStyle name="Millares 8" xfId="10"/>
    <cellStyle name="Millares 9" xfId="11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Punto de Equilibrio</a:t>
            </a:r>
          </a:p>
          <a:p>
            <a:pPr>
              <a:defRPr/>
            </a:pP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'COSTOS DE PRODUCCION'!$B$14:$E$14</c:f>
              <c:numCache>
                <c:formatCode>_(* #.##0_);_(* \(#.##0\);_(* "-"??_);_(@_)</c:formatCode>
                <c:ptCount val="4"/>
                <c:pt idx="0">
                  <c:v>0</c:v>
                </c:pt>
                <c:pt idx="1">
                  <c:v>100054647.13557109</c:v>
                </c:pt>
                <c:pt idx="2">
                  <c:v>200109294.27114218</c:v>
                </c:pt>
                <c:pt idx="3">
                  <c:v>300163941.40671331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865-4781-A8A0-B9AF294F8022}"/>
            </c:ext>
          </c:extLst>
        </c:ser>
        <c:ser>
          <c:idx val="1"/>
          <c:order val="1"/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'COSTOS DE PRODUCCION'!$B$15:$E$15</c:f>
              <c:numCache>
                <c:formatCode>_(* #.##0_);_(* \(#.##0\);_(* "-"??_);_(@_)</c:formatCode>
                <c:ptCount val="4"/>
                <c:pt idx="0">
                  <c:v>166860000</c:v>
                </c:pt>
                <c:pt idx="1">
                  <c:v>183484647.13557109</c:v>
                </c:pt>
                <c:pt idx="2">
                  <c:v>200109294.27114221</c:v>
                </c:pt>
                <c:pt idx="3">
                  <c:v>216733941.40671331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865-4781-A8A0-B9AF294F8022}"/>
            </c:ext>
          </c:extLst>
        </c:ser>
        <c:ser>
          <c:idx val="2"/>
          <c:order val="2"/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'COSTOS DE PRODUCCION'!$B$16:$E$16</c:f>
              <c:numCache>
                <c:formatCode>_(* #.##0_);_(* \(#.##0\);_(* "-"??_);_(@_)</c:formatCode>
                <c:ptCount val="4"/>
                <c:pt idx="0">
                  <c:v>166860000</c:v>
                </c:pt>
                <c:pt idx="1">
                  <c:v>166860000</c:v>
                </c:pt>
                <c:pt idx="2">
                  <c:v>166860000</c:v>
                </c:pt>
                <c:pt idx="3">
                  <c:v>166860000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865-4781-A8A0-B9AF294F8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-1326733104"/>
        <c:axId val="-1289256176"/>
      </c:lineChart>
      <c:catAx>
        <c:axId val="-13267331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289256176"/>
        <c:crosses val="autoZero"/>
        <c:auto val="1"/>
        <c:lblAlgn val="ctr"/>
        <c:lblOffset val="100"/>
        <c:noMultiLvlLbl val="0"/>
      </c:catAx>
      <c:valAx>
        <c:axId val="-1289256176"/>
        <c:scaling>
          <c:orientation val="minMax"/>
        </c:scaling>
        <c:delete val="0"/>
        <c:axPos val="l"/>
        <c:numFmt formatCode="_(* #.##0_);_(* \(#.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2673310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</xdr:row>
      <xdr:rowOff>100012</xdr:rowOff>
    </xdr:from>
    <xdr:to>
      <xdr:col>12</xdr:col>
      <xdr:colOff>19050</xdr:colOff>
      <xdr:row>15</xdr:row>
      <xdr:rowOff>176212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Programaci&#243;n%20de%20la%20amortizaci&#243;n%20del%20pr&#233;stam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/AppData/Local/Temp/PLANTILLA%20EXCEL%20CAPITULO%20FINANCI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 del préstamo"/>
      <sheetName val="Programación de la amortización"/>
    </sheetNames>
    <sheetDataSet>
      <sheetData sheetId="0">
        <row r="3">
          <cell r="E3">
            <v>10000000</v>
          </cell>
          <cell r="I3">
            <v>341776.29758025619</v>
          </cell>
        </row>
        <row r="4">
          <cell r="E4">
            <v>0.14000000000000001</v>
          </cell>
          <cell r="I4">
            <v>36</v>
          </cell>
        </row>
        <row r="5">
          <cell r="E5">
            <v>3</v>
          </cell>
        </row>
        <row r="6">
          <cell r="E6">
            <v>12</v>
          </cell>
        </row>
        <row r="7">
          <cell r="E7">
            <v>43466</v>
          </cell>
        </row>
        <row r="9">
          <cell r="E9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TIVOS FINACIEROS"/>
      <sheetName val="PRODUCTOS"/>
      <sheetName val="COMPRAS"/>
      <sheetName val="CONSUMOS"/>
      <sheetName val="PAGOS"/>
      <sheetName val="COBRANZAS"/>
      <sheetName val="INVERSIONES"/>
      <sheetName val="RESULTADO"/>
      <sheetName val="BALANCE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E11">
            <v>3690000</v>
          </cell>
          <cell r="F11">
            <v>3813000</v>
          </cell>
          <cell r="G11">
            <v>3936000</v>
          </cell>
          <cell r="H11">
            <v>4059000</v>
          </cell>
          <cell r="I11">
            <v>4182000</v>
          </cell>
          <cell r="J11">
            <v>4264000</v>
          </cell>
          <cell r="K11">
            <v>4346000</v>
          </cell>
          <cell r="L11">
            <v>4428000</v>
          </cell>
          <cell r="M11">
            <v>4510000</v>
          </cell>
          <cell r="N11">
            <v>4633000</v>
          </cell>
          <cell r="O11">
            <v>4756000</v>
          </cell>
          <cell r="P11">
            <v>4879000</v>
          </cell>
          <cell r="Q11">
            <v>51496000</v>
          </cell>
        </row>
      </sheetData>
      <sheetData sheetId="5" refreshError="1">
        <row r="12">
          <cell r="D12">
            <v>37770000</v>
          </cell>
          <cell r="E12">
            <v>39194000</v>
          </cell>
          <cell r="F12">
            <v>40553000</v>
          </cell>
          <cell r="G12">
            <v>41912000</v>
          </cell>
          <cell r="H12">
            <v>43271000</v>
          </cell>
          <cell r="I12">
            <v>44277000</v>
          </cell>
          <cell r="J12">
            <v>45283000</v>
          </cell>
          <cell r="K12">
            <v>46289000</v>
          </cell>
          <cell r="L12">
            <v>47295000</v>
          </cell>
          <cell r="M12">
            <v>48654000</v>
          </cell>
          <cell r="N12">
            <v>50013000</v>
          </cell>
          <cell r="O12">
            <v>51372000</v>
          </cell>
          <cell r="P12">
            <v>535883000</v>
          </cell>
        </row>
        <row r="15">
          <cell r="P15">
            <v>0</v>
          </cell>
        </row>
      </sheetData>
      <sheetData sheetId="6" refreshError="1">
        <row r="8">
          <cell r="K8">
            <v>125000</v>
          </cell>
        </row>
      </sheetData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workbookViewId="0">
      <selection activeCell="B27" sqref="B27"/>
    </sheetView>
  </sheetViews>
  <sheetFormatPr baseColWidth="10" defaultRowHeight="15" x14ac:dyDescent="0.25"/>
  <cols>
    <col min="1" max="1" width="30.85546875" customWidth="1"/>
    <col min="2" max="2" width="22.28515625" customWidth="1"/>
    <col min="3" max="3" width="17.42578125" customWidth="1"/>
    <col min="4" max="4" width="20.140625" customWidth="1"/>
    <col min="5" max="5" width="17.28515625" customWidth="1"/>
    <col min="6" max="6" width="15.85546875" customWidth="1"/>
    <col min="7" max="7" width="15.5703125" bestFit="1" customWidth="1"/>
  </cols>
  <sheetData>
    <row r="2" spans="1:8" x14ac:dyDescent="0.25">
      <c r="A2" s="120" t="s">
        <v>7</v>
      </c>
      <c r="B2" s="121"/>
      <c r="C2" s="121"/>
      <c r="D2" s="121"/>
      <c r="E2" s="121"/>
      <c r="F2" s="121"/>
      <c r="G2" s="121"/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8" x14ac:dyDescent="0.25">
      <c r="A4" s="1" t="s">
        <v>146</v>
      </c>
      <c r="B4" s="103">
        <v>535883000</v>
      </c>
      <c r="C4" s="103">
        <v>568035980</v>
      </c>
      <c r="D4" s="103">
        <v>602118139</v>
      </c>
      <c r="E4" s="103">
        <v>638245227</v>
      </c>
      <c r="F4" s="103">
        <v>676539941</v>
      </c>
      <c r="G4" s="101">
        <f>SUM(B4:F4)</f>
        <v>3020822287</v>
      </c>
    </row>
    <row r="5" spans="1:8" x14ac:dyDescent="0.25">
      <c r="A5" s="1" t="s">
        <v>147</v>
      </c>
      <c r="B5" s="117">
        <v>250857976</v>
      </c>
      <c r="C5" s="103">
        <f>C4/100*47</f>
        <v>266976910.59999999</v>
      </c>
      <c r="D5" s="103">
        <f t="shared" ref="D5:F5" si="0">D4/100*47</f>
        <v>282995525.32999998</v>
      </c>
      <c r="E5" s="103">
        <f t="shared" si="0"/>
        <v>299975256.69</v>
      </c>
      <c r="F5" s="103">
        <f t="shared" si="0"/>
        <v>317973772.26999998</v>
      </c>
      <c r="G5" s="103">
        <f>SUM(B5:F5)</f>
        <v>1418779440.8900001</v>
      </c>
      <c r="H5" s="118"/>
    </row>
    <row r="6" spans="1:8" x14ac:dyDescent="0.25">
      <c r="A6" s="1" t="s">
        <v>8</v>
      </c>
      <c r="B6" s="101">
        <f>B4-B5</f>
        <v>285025024</v>
      </c>
      <c r="C6" s="101">
        <f>C4-C5</f>
        <v>301059069.39999998</v>
      </c>
      <c r="D6" s="101">
        <f t="shared" ref="D6:E6" si="1">D4-D5</f>
        <v>319122613.67000002</v>
      </c>
      <c r="E6" s="101">
        <f t="shared" si="1"/>
        <v>338269970.31</v>
      </c>
      <c r="F6" s="101">
        <f>F4-F5</f>
        <v>358566168.73000002</v>
      </c>
      <c r="G6" s="101">
        <f>SUM(B6:F6)</f>
        <v>1602042846.1099999</v>
      </c>
    </row>
    <row r="7" spans="1:8" x14ac:dyDescent="0.25">
      <c r="A7" s="1" t="s">
        <v>9</v>
      </c>
      <c r="B7" s="8">
        <v>0.53</v>
      </c>
      <c r="C7" s="8">
        <v>0.53</v>
      </c>
      <c r="D7" s="8">
        <v>0.53</v>
      </c>
      <c r="E7" s="8">
        <v>0.53</v>
      </c>
      <c r="F7" s="8">
        <v>0.53</v>
      </c>
      <c r="G7" s="8">
        <v>0.53</v>
      </c>
    </row>
    <row r="8" spans="1:8" x14ac:dyDescent="0.25">
      <c r="A8" s="1" t="s">
        <v>10</v>
      </c>
      <c r="B8" s="7">
        <f>B6/100*92</f>
        <v>262223022.08000001</v>
      </c>
      <c r="C8" s="7">
        <f t="shared" ref="C8:F8" si="2">C6/100*92</f>
        <v>276974343.84799999</v>
      </c>
      <c r="D8" s="7">
        <f t="shared" si="2"/>
        <v>293592804.57640004</v>
      </c>
      <c r="E8" s="7">
        <f>E6/100*92</f>
        <v>311208372.68519998</v>
      </c>
      <c r="F8" s="7">
        <f t="shared" si="2"/>
        <v>329880875.23160005</v>
      </c>
      <c r="G8" s="102">
        <f>SUM(B8:F8)</f>
        <v>1473879418.4212</v>
      </c>
    </row>
  </sheetData>
  <mergeCells count="1">
    <mergeCell ref="A2:G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9"/>
  <sheetViews>
    <sheetView topLeftCell="A3" workbookViewId="0">
      <selection activeCell="M13" sqref="M13"/>
    </sheetView>
  </sheetViews>
  <sheetFormatPr baseColWidth="10" defaultRowHeight="15" x14ac:dyDescent="0.25"/>
  <cols>
    <col min="1" max="1" width="11.42578125" style="85"/>
    <col min="2" max="2" width="27" style="85" customWidth="1"/>
    <col min="3" max="3" width="14.140625" style="85" bestFit="1" customWidth="1"/>
    <col min="4" max="4" width="12.5703125" style="85" bestFit="1" customWidth="1"/>
    <col min="5" max="5" width="13.28515625" style="85" bestFit="1" customWidth="1"/>
    <col min="6" max="6" width="15.28515625" style="85" customWidth="1"/>
    <col min="7" max="7" width="16.28515625" style="85" customWidth="1"/>
    <col min="8" max="16384" width="11.42578125" style="85"/>
  </cols>
  <sheetData>
    <row r="2" spans="2:9" x14ac:dyDescent="0.25">
      <c r="I2" s="92" t="s">
        <v>44</v>
      </c>
    </row>
    <row r="4" spans="2:9" x14ac:dyDescent="0.25">
      <c r="B4" s="130" t="s">
        <v>144</v>
      </c>
      <c r="C4" s="130"/>
      <c r="D4" s="130"/>
      <c r="E4" s="130"/>
      <c r="F4" s="130"/>
      <c r="G4" s="130"/>
    </row>
    <row r="5" spans="2:9" x14ac:dyDescent="0.25">
      <c r="B5" s="91" t="s">
        <v>106</v>
      </c>
      <c r="C5" s="90" t="s">
        <v>1</v>
      </c>
      <c r="D5" s="90" t="s">
        <v>2</v>
      </c>
      <c r="E5" s="90" t="s">
        <v>3</v>
      </c>
      <c r="F5" s="90" t="s">
        <v>4</v>
      </c>
      <c r="G5" s="90" t="s">
        <v>5</v>
      </c>
    </row>
    <row r="6" spans="2:9" x14ac:dyDescent="0.25">
      <c r="B6" s="87" t="s">
        <v>104</v>
      </c>
      <c r="C6" s="87">
        <f>'FLUJO DE CAJA'!O6</f>
        <v>535883000</v>
      </c>
      <c r="D6" s="87">
        <f>INGRESOS!C28*[2]COBRANZAS!$P$15+INGRESOS!D28*(1-[2]COBRANZAS!$P$15)</f>
        <v>568035980</v>
      </c>
      <c r="E6" s="87">
        <f>INGRESOS!D28*[2]COBRANZAS!$P$15+INGRESOS!E28*(1-[2]COBRANZAS!$P$15)</f>
        <v>602118138.79999995</v>
      </c>
      <c r="F6" s="87">
        <f>INGRESOS!E28*[2]COBRANZAS!$P$15+INGRESOS!F28*(1-[2]COBRANZAS!$P$15)</f>
        <v>638245227.12800002</v>
      </c>
      <c r="G6" s="87">
        <f>INGRESOS!F28*[2]COBRANZAS!$P$15+INGRESOS!G28*(1-[2]COBRANZAS!$P$15)</f>
        <v>676539940.75567997</v>
      </c>
    </row>
    <row r="7" spans="2:9" x14ac:dyDescent="0.25">
      <c r="B7" s="87"/>
      <c r="C7" s="87"/>
      <c r="D7" s="87"/>
      <c r="E7" s="87"/>
      <c r="F7" s="87"/>
      <c r="G7" s="87"/>
    </row>
    <row r="8" spans="2:9" x14ac:dyDescent="0.25">
      <c r="B8" s="87" t="s">
        <v>123</v>
      </c>
      <c r="C8" s="87">
        <f>SUM(EGRESOS!C33:C34)</f>
        <v>150613512</v>
      </c>
      <c r="D8" s="87">
        <f>SUM(EGRESOS!D33:D34)</f>
        <v>161156457.84</v>
      </c>
      <c r="E8" s="87">
        <f>SUM(EGRESOS!E33:E34)</f>
        <v>172437409.88880002</v>
      </c>
      <c r="F8" s="87">
        <f>SUM(EGRESOS!F33:F34)</f>
        <v>184508028.581016</v>
      </c>
      <c r="G8" s="87">
        <f>SUM(EGRESOS!G33:G34)</f>
        <v>197423590.58168715</v>
      </c>
    </row>
    <row r="9" spans="2:9" x14ac:dyDescent="0.25">
      <c r="B9" s="87" t="s">
        <v>122</v>
      </c>
      <c r="C9" s="87">
        <f>'FLUJO DE CAJA'!O14</f>
        <v>50880000</v>
      </c>
      <c r="D9" s="87">
        <f>EGRESOS!C15</f>
        <v>50880000</v>
      </c>
      <c r="E9" s="87">
        <f>EGRESOS!D15</f>
        <v>53424000</v>
      </c>
      <c r="F9" s="87">
        <f>EGRESOS!E15</f>
        <v>56095200</v>
      </c>
      <c r="G9" s="87">
        <f>EGRESOS!F15</f>
        <v>58899960</v>
      </c>
    </row>
    <row r="10" spans="2:9" x14ac:dyDescent="0.25">
      <c r="B10" s="87" t="s">
        <v>121</v>
      </c>
      <c r="C10" s="87">
        <f>'FLUJO DE CAJA'!O15</f>
        <v>6493824</v>
      </c>
      <c r="D10" s="87">
        <f>SUM(EGRESOS!C35:C38)</f>
        <v>6493824</v>
      </c>
      <c r="E10" s="87">
        <f>SUM(EGRESOS!D35:D38)</f>
        <v>6948391.6799999997</v>
      </c>
      <c r="F10" s="87">
        <f>SUM(EGRESOS!E35:E38)</f>
        <v>7434779.0976</v>
      </c>
      <c r="G10" s="87">
        <f>SUM(EGRESOS!F35:F38)</f>
        <v>7955213.6344320001</v>
      </c>
    </row>
    <row r="11" spans="2:9" x14ac:dyDescent="0.25">
      <c r="B11" s="87" t="s">
        <v>120</v>
      </c>
      <c r="C11" s="87">
        <f>C6*8%</f>
        <v>42870640</v>
      </c>
      <c r="D11" s="87">
        <f>D6*8%</f>
        <v>45442878.399999999</v>
      </c>
      <c r="E11" s="87">
        <f t="shared" ref="E11:G11" si="0">E6*8%</f>
        <v>48169451.103999995</v>
      </c>
      <c r="F11" s="87">
        <f t="shared" si="0"/>
        <v>51059618.17024</v>
      </c>
      <c r="G11" s="87">
        <f t="shared" si="0"/>
        <v>54123195.260454401</v>
      </c>
    </row>
    <row r="12" spans="2:9" x14ac:dyDescent="0.25">
      <c r="B12" s="87"/>
      <c r="C12" s="87"/>
      <c r="D12" s="87"/>
      <c r="E12" s="87"/>
      <c r="F12" s="87"/>
      <c r="G12" s="87"/>
    </row>
    <row r="13" spans="2:9" x14ac:dyDescent="0.25">
      <c r="B13" s="88" t="s">
        <v>97</v>
      </c>
      <c r="C13" s="88">
        <f>SUM(C8:C12)</f>
        <v>250857976</v>
      </c>
      <c r="D13" s="88">
        <f>SUM(D8:D11)</f>
        <v>263973160.24000001</v>
      </c>
      <c r="E13" s="88">
        <f>SUM(E8:E11)</f>
        <v>280979252.6728</v>
      </c>
      <c r="F13" s="88">
        <f>SUM(F8:F11)</f>
        <v>299097625.84885603</v>
      </c>
      <c r="G13" s="88">
        <f>SUM(G8:G11)</f>
        <v>318401959.47657353</v>
      </c>
    </row>
    <row r="14" spans="2:9" x14ac:dyDescent="0.25">
      <c r="B14" s="87"/>
      <c r="C14" s="87"/>
      <c r="D14" s="87"/>
      <c r="E14" s="87"/>
      <c r="F14" s="87"/>
      <c r="G14" s="87"/>
    </row>
    <row r="15" spans="2:9" x14ac:dyDescent="0.25">
      <c r="B15" s="87" t="s">
        <v>96</v>
      </c>
      <c r="C15" s="87">
        <f>C6-C13</f>
        <v>285025024</v>
      </c>
      <c r="D15" s="87">
        <f>D6-D13</f>
        <v>304062819.75999999</v>
      </c>
      <c r="E15" s="87">
        <f>E6-E13</f>
        <v>321138886.12719995</v>
      </c>
      <c r="F15" s="87">
        <f>F6-F13</f>
        <v>339147601.27914399</v>
      </c>
      <c r="G15" s="87">
        <f>G6-G13</f>
        <v>358137981.27910644</v>
      </c>
    </row>
    <row r="16" spans="2:9" x14ac:dyDescent="0.25">
      <c r="B16" s="87"/>
      <c r="C16" s="87"/>
      <c r="D16" s="87"/>
      <c r="E16" s="87"/>
      <c r="F16" s="87"/>
      <c r="G16" s="87"/>
    </row>
    <row r="17" spans="2:7" x14ac:dyDescent="0.25">
      <c r="B17" s="87" t="s">
        <v>95</v>
      </c>
      <c r="C17" s="87">
        <f>'FLUJO DE CAJA'!C21</f>
        <v>120000000</v>
      </c>
      <c r="D17" s="87"/>
      <c r="E17" s="87"/>
      <c r="F17" s="87"/>
      <c r="G17" s="87"/>
    </row>
    <row r="18" spans="2:7" x14ac:dyDescent="0.25">
      <c r="B18" s="87"/>
      <c r="C18" s="87"/>
      <c r="D18" s="87"/>
      <c r="E18" s="87"/>
      <c r="F18" s="87"/>
      <c r="G18" s="87"/>
    </row>
    <row r="19" spans="2:7" x14ac:dyDescent="0.25">
      <c r="B19" s="89" t="s">
        <v>119</v>
      </c>
      <c r="C19" s="87"/>
      <c r="D19" s="87"/>
      <c r="E19" s="87"/>
      <c r="F19" s="87"/>
      <c r="G19" s="87"/>
    </row>
    <row r="20" spans="2:7" x14ac:dyDescent="0.25">
      <c r="B20" s="87"/>
      <c r="C20" s="87"/>
      <c r="D20" s="87"/>
      <c r="E20" s="87"/>
      <c r="F20" s="87"/>
      <c r="G20" s="87"/>
    </row>
    <row r="21" spans="2:7" x14ac:dyDescent="0.25">
      <c r="B21" s="87" t="s">
        <v>118</v>
      </c>
      <c r="C21" s="87">
        <f>'FLUJO DE CAJA'!O25</f>
        <v>80000000</v>
      </c>
      <c r="D21" s="87"/>
      <c r="E21" s="87"/>
      <c r="F21" s="87"/>
      <c r="G21" s="87"/>
    </row>
    <row r="22" spans="2:7" x14ac:dyDescent="0.25">
      <c r="B22" s="87" t="s">
        <v>117</v>
      </c>
      <c r="C22" s="87">
        <f>'FLUJO DE CAJA'!O26</f>
        <v>-29724747.822894111</v>
      </c>
      <c r="D22" s="87">
        <f>-SUM('FUENTE DE FINANCIAMIENTO'!E21:E32)</f>
        <v>-32426997.624975394</v>
      </c>
      <c r="E22" s="87">
        <f>-SUM('FUENTE DE FINANCIAMIENTO'!E34:E45)</f>
        <v>-32426997.624975394</v>
      </c>
      <c r="F22" s="87">
        <v>0</v>
      </c>
      <c r="G22" s="87">
        <v>0</v>
      </c>
    </row>
    <row r="23" spans="2:7" x14ac:dyDescent="0.25">
      <c r="B23" s="88" t="s">
        <v>91</v>
      </c>
      <c r="C23" s="88">
        <f>C21+C22</f>
        <v>50275252.177105889</v>
      </c>
      <c r="D23" s="88">
        <f>D22</f>
        <v>-32426997.624975394</v>
      </c>
      <c r="E23" s="88">
        <f>E22</f>
        <v>-32426997.624975394</v>
      </c>
      <c r="F23" s="88">
        <f>F22</f>
        <v>0</v>
      </c>
      <c r="G23" s="88">
        <f>G22</f>
        <v>0</v>
      </c>
    </row>
    <row r="24" spans="2:7" x14ac:dyDescent="0.25">
      <c r="B24" s="87"/>
      <c r="C24" s="87"/>
      <c r="D24" s="87"/>
      <c r="E24" s="87"/>
      <c r="F24" s="87"/>
      <c r="G24" s="87"/>
    </row>
    <row r="25" spans="2:7" x14ac:dyDescent="0.25">
      <c r="B25" s="88" t="s">
        <v>116</v>
      </c>
      <c r="C25" s="88">
        <f>C15-C17+C23</f>
        <v>215300276.1771059</v>
      </c>
      <c r="D25" s="88">
        <f>D15-D17+D22</f>
        <v>271635822.13502461</v>
      </c>
      <c r="E25" s="88">
        <f>E15-E17+E22</f>
        <v>288711888.50222456</v>
      </c>
      <c r="F25" s="88">
        <f>F15-F17+F22</f>
        <v>339147601.27914399</v>
      </c>
      <c r="G25" s="88">
        <f>G15-G17+G22</f>
        <v>358137981.27910644</v>
      </c>
    </row>
    <row r="26" spans="2:7" x14ac:dyDescent="0.25">
      <c r="B26" s="87"/>
      <c r="C26" s="87"/>
      <c r="D26" s="87"/>
      <c r="E26" s="87"/>
      <c r="F26" s="87"/>
      <c r="G26" s="87"/>
    </row>
    <row r="27" spans="2:7" x14ac:dyDescent="0.25">
      <c r="B27" s="88" t="s">
        <v>89</v>
      </c>
      <c r="C27" s="88">
        <f>'FLUJO DE CAJA'!C31</f>
        <v>40000000</v>
      </c>
      <c r="D27" s="87"/>
      <c r="E27" s="87"/>
      <c r="F27" s="87"/>
      <c r="G27" s="87"/>
    </row>
    <row r="28" spans="2:7" x14ac:dyDescent="0.25">
      <c r="B28" s="87"/>
      <c r="C28" s="87"/>
      <c r="D28" s="87"/>
      <c r="E28" s="87"/>
      <c r="F28" s="87"/>
      <c r="G28" s="87"/>
    </row>
    <row r="29" spans="2:7" ht="15.75" thickBot="1" x14ac:dyDescent="0.3">
      <c r="B29" s="86" t="s">
        <v>88</v>
      </c>
      <c r="C29" s="86">
        <f>C25+C27</f>
        <v>255300276.1771059</v>
      </c>
      <c r="D29" s="86">
        <f>D25+C29</f>
        <v>526936098.31213051</v>
      </c>
      <c r="E29" s="86">
        <f>E25+D29</f>
        <v>815647986.81435513</v>
      </c>
      <c r="F29" s="86">
        <f>F25+E29</f>
        <v>1154795588.0934992</v>
      </c>
      <c r="G29" s="86">
        <f>G25+F29</f>
        <v>1512933569.3726056</v>
      </c>
    </row>
  </sheetData>
  <mergeCells count="1">
    <mergeCell ref="B4:G4"/>
  </mergeCells>
  <pageMargins left="0.7" right="0.7" top="0.75" bottom="0.75" header="0.3" footer="0.3"/>
  <pageSetup paperSize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3"/>
  <sheetViews>
    <sheetView workbookViewId="0">
      <selection activeCell="B27" sqref="B27"/>
    </sheetView>
  </sheetViews>
  <sheetFormatPr baseColWidth="10" defaultRowHeight="15" x14ac:dyDescent="0.25"/>
  <cols>
    <col min="1" max="1" width="32.28515625" customWidth="1"/>
    <col min="2" max="2" width="28.5703125" customWidth="1"/>
  </cols>
  <sheetData>
    <row r="2" spans="1:2" x14ac:dyDescent="0.25">
      <c r="A2" s="120" t="s">
        <v>11</v>
      </c>
      <c r="B2" s="120"/>
    </row>
    <row r="3" spans="1:2" x14ac:dyDescent="0.25">
      <c r="A3" s="3" t="s">
        <v>12</v>
      </c>
      <c r="B3" s="3" t="s">
        <v>22</v>
      </c>
    </row>
    <row r="4" spans="1:2" x14ac:dyDescent="0.25">
      <c r="A4" s="3" t="s">
        <v>13</v>
      </c>
      <c r="B4" s="3" t="s">
        <v>23</v>
      </c>
    </row>
    <row r="5" spans="1:2" x14ac:dyDescent="0.25">
      <c r="A5" s="3" t="s">
        <v>14</v>
      </c>
      <c r="B5" s="3" t="s">
        <v>24</v>
      </c>
    </row>
    <row r="6" spans="1:2" x14ac:dyDescent="0.25">
      <c r="A6" s="3" t="s">
        <v>15</v>
      </c>
      <c r="B6" s="3" t="s">
        <v>25</v>
      </c>
    </row>
    <row r="7" spans="1:2" x14ac:dyDescent="0.25">
      <c r="A7" s="3" t="s">
        <v>16</v>
      </c>
      <c r="B7" s="3" t="s">
        <v>26</v>
      </c>
    </row>
    <row r="8" spans="1:2" x14ac:dyDescent="0.25">
      <c r="A8" s="3" t="s">
        <v>17</v>
      </c>
      <c r="B8" s="3" t="s">
        <v>27</v>
      </c>
    </row>
    <row r="9" spans="1:2" x14ac:dyDescent="0.25">
      <c r="A9" s="3" t="s">
        <v>18</v>
      </c>
      <c r="B9" s="3" t="s">
        <v>28</v>
      </c>
    </row>
    <row r="10" spans="1:2" x14ac:dyDescent="0.25">
      <c r="A10" s="3" t="s">
        <v>19</v>
      </c>
      <c r="B10" s="3" t="s">
        <v>29</v>
      </c>
    </row>
    <row r="11" spans="1:2" x14ac:dyDescent="0.25">
      <c r="A11" s="3" t="s">
        <v>20</v>
      </c>
      <c r="B11" s="3" t="s">
        <v>30</v>
      </c>
    </row>
    <row r="12" spans="1:2" x14ac:dyDescent="0.25">
      <c r="A12" s="3" t="s">
        <v>21</v>
      </c>
      <c r="B12" s="3" t="s">
        <v>31</v>
      </c>
    </row>
    <row r="13" spans="1:2" x14ac:dyDescent="0.25">
      <c r="A13" s="111" t="s">
        <v>6</v>
      </c>
      <c r="B13" s="111" t="s">
        <v>32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7"/>
  <sheetViews>
    <sheetView zoomScale="86" zoomScaleNormal="86" workbookViewId="0">
      <selection activeCell="E16" sqref="E16"/>
    </sheetView>
  </sheetViews>
  <sheetFormatPr baseColWidth="10" defaultRowHeight="15" x14ac:dyDescent="0.25"/>
  <cols>
    <col min="3" max="3" width="12.5703125" bestFit="1" customWidth="1"/>
    <col min="4" max="4" width="15.85546875" style="11" customWidth="1"/>
    <col min="5" max="5" width="19.85546875" style="11" bestFit="1" customWidth="1"/>
    <col min="6" max="6" width="19.85546875" style="11" customWidth="1"/>
    <col min="7" max="7" width="14.140625" style="11" bestFit="1" customWidth="1"/>
    <col min="8" max="8" width="25.85546875" style="11" customWidth="1"/>
    <col min="9" max="9" width="11.42578125" style="11"/>
    <col min="11" max="11" width="13.140625" bestFit="1" customWidth="1"/>
    <col min="15" max="15" width="14.140625" bestFit="1" customWidth="1"/>
  </cols>
  <sheetData>
    <row r="2" spans="1:15" x14ac:dyDescent="0.25">
      <c r="H2" s="16"/>
    </row>
    <row r="3" spans="1:15" x14ac:dyDescent="0.25">
      <c r="B3" s="120" t="s">
        <v>45</v>
      </c>
      <c r="C3" s="121"/>
      <c r="D3" s="121"/>
      <c r="E3" s="121"/>
      <c r="F3" s="121"/>
      <c r="G3" s="121"/>
      <c r="H3" s="121"/>
    </row>
    <row r="4" spans="1:15" x14ac:dyDescent="0.25">
      <c r="B4" s="18" t="s">
        <v>33</v>
      </c>
      <c r="C4" s="19">
        <v>80000000</v>
      </c>
      <c r="D4" s="13"/>
      <c r="E4" s="19" t="s">
        <v>34</v>
      </c>
      <c r="F4" s="19"/>
      <c r="G4" s="20">
        <v>0.14000000000000001</v>
      </c>
      <c r="H4" s="19"/>
    </row>
    <row r="5" spans="1:15" x14ac:dyDescent="0.25">
      <c r="B5" s="18" t="s">
        <v>35</v>
      </c>
      <c r="C5" s="19">
        <v>36</v>
      </c>
      <c r="D5" s="13"/>
      <c r="E5" s="19" t="s">
        <v>36</v>
      </c>
      <c r="F5" s="19"/>
      <c r="G5" s="21">
        <f>+POWER((1+G4),(1/12))-1</f>
        <v>1.0978851950173452E-2</v>
      </c>
      <c r="H5" s="19"/>
      <c r="I5"/>
      <c r="N5" s="17"/>
    </row>
    <row r="6" spans="1:15" x14ac:dyDescent="0.25">
      <c r="B6" s="1"/>
      <c r="C6" s="13"/>
      <c r="D6" s="19" t="s">
        <v>37</v>
      </c>
      <c r="E6" s="19"/>
      <c r="F6" s="13"/>
      <c r="G6" s="13">
        <v>0</v>
      </c>
      <c r="H6" s="19"/>
      <c r="I6"/>
    </row>
    <row r="7" spans="1:15" x14ac:dyDescent="0.25">
      <c r="A7" s="9"/>
      <c r="B7" s="9"/>
      <c r="C7" s="24"/>
      <c r="D7" s="24"/>
      <c r="E7" s="24"/>
      <c r="F7" s="24"/>
      <c r="G7" s="24"/>
      <c r="H7" s="24"/>
      <c r="I7"/>
    </row>
    <row r="8" spans="1:15" ht="17.25" customHeight="1" x14ac:dyDescent="0.25">
      <c r="B8" s="22" t="s">
        <v>35</v>
      </c>
      <c r="C8" s="23" t="s">
        <v>38</v>
      </c>
      <c r="D8" s="23" t="s">
        <v>39</v>
      </c>
      <c r="E8" s="23" t="s">
        <v>40</v>
      </c>
      <c r="F8" s="23" t="s">
        <v>41</v>
      </c>
      <c r="G8" s="23" t="s">
        <v>42</v>
      </c>
      <c r="H8" s="23" t="s">
        <v>43</v>
      </c>
      <c r="I8"/>
      <c r="K8" s="2"/>
    </row>
    <row r="9" spans="1:15" x14ac:dyDescent="0.25">
      <c r="B9" s="1">
        <v>0</v>
      </c>
      <c r="C9" s="13"/>
      <c r="D9" s="13"/>
      <c r="E9" s="13"/>
      <c r="F9" s="13">
        <f>C4</f>
        <v>80000000</v>
      </c>
      <c r="G9" s="13"/>
      <c r="H9" s="13"/>
      <c r="I9" s="4"/>
      <c r="K9" s="9"/>
    </row>
    <row r="10" spans="1:15" x14ac:dyDescent="0.25">
      <c r="B10" s="1">
        <v>1</v>
      </c>
      <c r="C10" s="13">
        <f t="shared" ref="C10:C45" si="0">IF(($G$6-B10)&gt;=0,0,E10-D10)</f>
        <v>1823941.6460674065</v>
      </c>
      <c r="D10" s="12">
        <f t="shared" ref="D10:D45" si="1">$G$5*F9</f>
        <v>878308.15601387608</v>
      </c>
      <c r="E10" s="12">
        <f t="shared" ref="E10:E45" si="2">IF(($C$5-B10)&lt;0,0,IF(($G$6-B10)&gt;=0,D10,$F$9*(1+$G$5)^($C$5-$G$6)*($G$5)/((1+$G$5)^($C$5-$G$6)-1)))</f>
        <v>2702249.8020812827</v>
      </c>
      <c r="F10" s="13">
        <f t="shared" ref="F10:F45" si="3">IF((F9-C10)&lt;&gt;0.001,F9-C10,0)</f>
        <v>78176058.353932589</v>
      </c>
      <c r="G10" s="13">
        <v>0</v>
      </c>
      <c r="H10" s="12">
        <f t="shared" ref="H10:H45" si="4">E10+G10</f>
        <v>2702249.8020812827</v>
      </c>
      <c r="I10"/>
      <c r="J10" s="18" t="s">
        <v>39</v>
      </c>
      <c r="K10" s="18" t="s">
        <v>1</v>
      </c>
      <c r="L10" s="18" t="s">
        <v>2</v>
      </c>
      <c r="M10" s="18" t="s">
        <v>3</v>
      </c>
      <c r="N10" s="18" t="s">
        <v>4</v>
      </c>
      <c r="O10" s="18" t="s">
        <v>5</v>
      </c>
    </row>
    <row r="11" spans="1:15" x14ac:dyDescent="0.25">
      <c r="B11" s="1">
        <v>2</v>
      </c>
      <c r="C11" s="13">
        <f t="shared" si="0"/>
        <v>1843966.4313653363</v>
      </c>
      <c r="D11" s="12">
        <f t="shared" si="1"/>
        <v>858283.37071594631</v>
      </c>
      <c r="E11" s="12">
        <f t="shared" si="2"/>
        <v>2702249.8020812827</v>
      </c>
      <c r="F11" s="13">
        <f t="shared" si="3"/>
        <v>76332091.922567248</v>
      </c>
      <c r="G11" s="13">
        <v>0</v>
      </c>
      <c r="H11" s="12">
        <f t="shared" si="4"/>
        <v>2702249.8020812827</v>
      </c>
      <c r="I11"/>
      <c r="J11" s="1"/>
      <c r="K11" s="25">
        <f>SUM(D10:D21)</f>
        <v>9168479.192599535</v>
      </c>
      <c r="L11" s="25">
        <f>SUM(D22:D33)</f>
        <v>5912286.6120669451</v>
      </c>
      <c r="M11" s="25">
        <f>SUM(D34:D45)</f>
        <v>2200227.0702597946</v>
      </c>
      <c r="N11" s="25">
        <v>0</v>
      </c>
      <c r="O11" s="25">
        <v>0</v>
      </c>
    </row>
    <row r="12" spans="1:15" ht="17.25" customHeight="1" x14ac:dyDescent="0.25">
      <c r="B12" s="1">
        <v>3</v>
      </c>
      <c r="C12" s="13">
        <f t="shared" si="0"/>
        <v>1864211.0658163861</v>
      </c>
      <c r="D12" s="12">
        <f t="shared" si="1"/>
        <v>838038.73626489658</v>
      </c>
      <c r="E12" s="12">
        <f t="shared" si="2"/>
        <v>2702249.8020812827</v>
      </c>
      <c r="F12" s="13">
        <f t="shared" si="3"/>
        <v>74467880.856750861</v>
      </c>
      <c r="G12" s="13">
        <v>0</v>
      </c>
      <c r="H12" s="12">
        <f t="shared" si="4"/>
        <v>2702249.8020812827</v>
      </c>
      <c r="I12"/>
      <c r="K12" s="9"/>
    </row>
    <row r="13" spans="1:15" x14ac:dyDescent="0.25">
      <c r="B13" s="1">
        <v>4</v>
      </c>
      <c r="C13" s="13">
        <f t="shared" si="0"/>
        <v>1884677.9631118593</v>
      </c>
      <c r="D13" s="12">
        <f t="shared" si="1"/>
        <v>817571.83896942344</v>
      </c>
      <c r="E13" s="12">
        <f t="shared" si="2"/>
        <v>2702249.8020812827</v>
      </c>
      <c r="F13" s="13">
        <f t="shared" si="3"/>
        <v>72583202.893638998</v>
      </c>
      <c r="G13" s="13">
        <v>0</v>
      </c>
      <c r="H13" s="12">
        <f t="shared" si="4"/>
        <v>2702249.8020812827</v>
      </c>
      <c r="I13"/>
      <c r="K13" s="9"/>
    </row>
    <row r="14" spans="1:15" x14ac:dyDescent="0.25">
      <c r="B14" s="1">
        <v>5</v>
      </c>
      <c r="C14" s="13">
        <f t="shared" si="0"/>
        <v>1905369.5634426191</v>
      </c>
      <c r="D14" s="12">
        <f t="shared" si="1"/>
        <v>796880.23863866378</v>
      </c>
      <c r="E14" s="12">
        <f t="shared" si="2"/>
        <v>2702249.8020812827</v>
      </c>
      <c r="F14" s="13">
        <f t="shared" si="3"/>
        <v>70677833.330196381</v>
      </c>
      <c r="G14" s="13">
        <v>0</v>
      </c>
      <c r="H14" s="12">
        <f t="shared" si="4"/>
        <v>2702249.8020812827</v>
      </c>
      <c r="I14"/>
      <c r="K14" s="9"/>
    </row>
    <row r="15" spans="1:15" x14ac:dyDescent="0.25">
      <c r="B15" s="1">
        <v>6</v>
      </c>
      <c r="C15" s="13">
        <f t="shared" si="0"/>
        <v>1926288.3337900219</v>
      </c>
      <c r="D15" s="12">
        <f>$G$5*F14</f>
        <v>775961.46829126077</v>
      </c>
      <c r="E15" s="12">
        <f>IF(($C$5-B15)&lt;0,0,IF(($G$6-B15)&gt;=0,D15,$F$9*(1+$G$5)^($C$5-$G$6)*($G$5)/((1+$G$5)^($C$5-$G$6)-1)))</f>
        <v>2702249.8020812827</v>
      </c>
      <c r="F15" s="13">
        <f t="shared" si="3"/>
        <v>68751544.996406361</v>
      </c>
      <c r="G15" s="13">
        <v>0</v>
      </c>
      <c r="H15" s="12">
        <f t="shared" si="4"/>
        <v>2702249.8020812827</v>
      </c>
      <c r="I15"/>
      <c r="K15" s="9"/>
    </row>
    <row r="16" spans="1:15" x14ac:dyDescent="0.25">
      <c r="B16" s="1">
        <v>7</v>
      </c>
      <c r="C16" s="13">
        <f t="shared" si="0"/>
        <v>1947436.7682200489</v>
      </c>
      <c r="D16" s="12">
        <f t="shared" si="1"/>
        <v>754813.03386123374</v>
      </c>
      <c r="E16" s="12">
        <f t="shared" si="2"/>
        <v>2702249.8020812827</v>
      </c>
      <c r="F16" s="13">
        <f t="shared" si="3"/>
        <v>66804108.228186309</v>
      </c>
      <c r="G16" s="13">
        <v>0</v>
      </c>
      <c r="H16" s="12">
        <f t="shared" si="4"/>
        <v>2702249.8020812827</v>
      </c>
      <c r="I16"/>
      <c r="K16" s="9"/>
    </row>
    <row r="17" spans="2:11" x14ac:dyDescent="0.25">
      <c r="B17" s="1">
        <v>8</v>
      </c>
      <c r="C17" s="13">
        <f t="shared" si="0"/>
        <v>1968817.388180661</v>
      </c>
      <c r="D17" s="12">
        <f t="shared" si="1"/>
        <v>733432.41390062158</v>
      </c>
      <c r="E17" s="12">
        <f t="shared" si="2"/>
        <v>2702249.8020812827</v>
      </c>
      <c r="F17" s="13">
        <f t="shared" si="3"/>
        <v>64835290.840005651</v>
      </c>
      <c r="G17" s="13">
        <v>0</v>
      </c>
      <c r="H17" s="12">
        <f t="shared" si="4"/>
        <v>2702249.8020812827</v>
      </c>
      <c r="I17"/>
      <c r="K17" s="9"/>
    </row>
    <row r="18" spans="2:11" x14ac:dyDescent="0.25">
      <c r="B18" s="1">
        <v>9</v>
      </c>
      <c r="C18" s="13">
        <f t="shared" si="0"/>
        <v>1990432.7428024239</v>
      </c>
      <c r="D18" s="12">
        <f t="shared" si="1"/>
        <v>711817.05927885894</v>
      </c>
      <c r="E18" s="12">
        <f t="shared" si="2"/>
        <v>2702249.8020812827</v>
      </c>
      <c r="F18" s="13">
        <f t="shared" si="3"/>
        <v>62844858.097203225</v>
      </c>
      <c r="G18" s="13">
        <v>0</v>
      </c>
      <c r="H18" s="12">
        <f t="shared" si="4"/>
        <v>2702249.8020812827</v>
      </c>
      <c r="I18"/>
    </row>
    <row r="19" spans="2:11" x14ac:dyDescent="0.25">
      <c r="B19" s="1">
        <v>10</v>
      </c>
      <c r="C19" s="13">
        <f t="shared" si="0"/>
        <v>2012285.4092024292</v>
      </c>
      <c r="D19" s="12">
        <f t="shared" si="1"/>
        <v>689964.39287885348</v>
      </c>
      <c r="E19" s="12">
        <f t="shared" si="2"/>
        <v>2702249.8020812827</v>
      </c>
      <c r="F19" s="13">
        <f t="shared" si="3"/>
        <v>60832572.688000798</v>
      </c>
      <c r="G19" s="13">
        <v>0</v>
      </c>
      <c r="H19" s="12">
        <f t="shared" si="4"/>
        <v>2702249.8020812827</v>
      </c>
      <c r="I19"/>
    </row>
    <row r="20" spans="2:11" x14ac:dyDescent="0.25">
      <c r="B20" s="1">
        <v>11</v>
      </c>
      <c r="C20" s="13">
        <f t="shared" si="0"/>
        <v>2034377.9927915568</v>
      </c>
      <c r="D20" s="12">
        <f t="shared" si="1"/>
        <v>667871.80928972585</v>
      </c>
      <c r="E20" s="12">
        <f t="shared" si="2"/>
        <v>2702249.8020812827</v>
      </c>
      <c r="F20" s="13">
        <f t="shared" si="3"/>
        <v>58798194.695209242</v>
      </c>
      <c r="G20" s="13">
        <v>0</v>
      </c>
      <c r="H20" s="12">
        <f t="shared" si="4"/>
        <v>2702249.8020812827</v>
      </c>
      <c r="I20"/>
    </row>
    <row r="21" spans="2:11" x14ac:dyDescent="0.25">
      <c r="B21" s="1">
        <v>12</v>
      </c>
      <c r="C21" s="13">
        <f t="shared" si="0"/>
        <v>2056713.1275851065</v>
      </c>
      <c r="D21" s="12">
        <f t="shared" si="1"/>
        <v>645536.6744961763</v>
      </c>
      <c r="E21" s="12">
        <f t="shared" si="2"/>
        <v>2702249.8020812827</v>
      </c>
      <c r="F21" s="13">
        <f t="shared" si="3"/>
        <v>56741481.567624137</v>
      </c>
      <c r="G21" s="13">
        <v>0</v>
      </c>
      <c r="H21" s="12">
        <f t="shared" si="4"/>
        <v>2702249.8020812827</v>
      </c>
      <c r="I21"/>
    </row>
    <row r="22" spans="2:11" x14ac:dyDescent="0.25">
      <c r="B22" s="1">
        <v>13</v>
      </c>
      <c r="C22" s="13">
        <f t="shared" si="0"/>
        <v>2079293.4765168414</v>
      </c>
      <c r="D22" s="12">
        <f t="shared" si="1"/>
        <v>622956.32556444115</v>
      </c>
      <c r="E22" s="12">
        <f t="shared" si="2"/>
        <v>2702249.8020812827</v>
      </c>
      <c r="F22" s="13">
        <f t="shared" si="3"/>
        <v>54662188.091107294</v>
      </c>
      <c r="G22" s="13">
        <v>0</v>
      </c>
      <c r="H22" s="12">
        <f t="shared" si="4"/>
        <v>2702249.8020812827</v>
      </c>
      <c r="I22"/>
      <c r="K22" s="14"/>
    </row>
    <row r="23" spans="2:11" x14ac:dyDescent="0.25">
      <c r="B23" s="1">
        <v>14</v>
      </c>
      <c r="C23" s="13">
        <f t="shared" si="0"/>
        <v>2102121.7317564813</v>
      </c>
      <c r="D23" s="12">
        <f t="shared" si="1"/>
        <v>600128.07032480137</v>
      </c>
      <c r="E23" s="12">
        <f t="shared" si="2"/>
        <v>2702249.8020812827</v>
      </c>
      <c r="F23" s="13">
        <f t="shared" si="3"/>
        <v>52560066.359350815</v>
      </c>
      <c r="G23" s="13">
        <v>0</v>
      </c>
      <c r="H23" s="12">
        <f t="shared" si="4"/>
        <v>2702249.8020812827</v>
      </c>
      <c r="I23"/>
    </row>
    <row r="24" spans="2:11" x14ac:dyDescent="0.25">
      <c r="B24" s="1">
        <v>15</v>
      </c>
      <c r="C24" s="13">
        <f t="shared" si="0"/>
        <v>2125200.615030678</v>
      </c>
      <c r="D24" s="12">
        <f t="shared" si="1"/>
        <v>577049.18705060473</v>
      </c>
      <c r="E24" s="12">
        <f t="shared" si="2"/>
        <v>2702249.8020812827</v>
      </c>
      <c r="F24" s="13">
        <f t="shared" si="3"/>
        <v>50434865.744320139</v>
      </c>
      <c r="G24" s="13">
        <v>0</v>
      </c>
      <c r="H24" s="12">
        <f t="shared" si="4"/>
        <v>2702249.8020812827</v>
      </c>
      <c r="I24"/>
      <c r="K24" s="14"/>
    </row>
    <row r="25" spans="2:11" x14ac:dyDescent="0.25">
      <c r="B25" s="1">
        <v>16</v>
      </c>
      <c r="C25" s="13">
        <f t="shared" si="0"/>
        <v>2148532.8779475172</v>
      </c>
      <c r="D25" s="12">
        <f t="shared" si="1"/>
        <v>553716.92413376539</v>
      </c>
      <c r="E25" s="12">
        <f t="shared" si="2"/>
        <v>2702249.8020812827</v>
      </c>
      <c r="F25" s="13">
        <f t="shared" si="3"/>
        <v>48286332.866372623</v>
      </c>
      <c r="G25" s="13">
        <v>0</v>
      </c>
      <c r="H25" s="12">
        <f t="shared" si="4"/>
        <v>2702249.8020812827</v>
      </c>
      <c r="I25"/>
    </row>
    <row r="26" spans="2:11" x14ac:dyDescent="0.25">
      <c r="B26" s="1">
        <v>17</v>
      </c>
      <c r="C26" s="13">
        <f t="shared" si="0"/>
        <v>2172121.3023245833</v>
      </c>
      <c r="D26" s="12">
        <f t="shared" si="1"/>
        <v>530128.49975669954</v>
      </c>
      <c r="E26" s="12">
        <f t="shared" si="2"/>
        <v>2702249.8020812827</v>
      </c>
      <c r="F26" s="13">
        <f t="shared" si="3"/>
        <v>46114211.564048037</v>
      </c>
      <c r="G26" s="13">
        <v>0</v>
      </c>
      <c r="H26" s="12">
        <f t="shared" si="4"/>
        <v>2702249.8020812827</v>
      </c>
      <c r="I26"/>
    </row>
    <row r="27" spans="2:11" x14ac:dyDescent="0.25">
      <c r="B27" s="1">
        <v>18</v>
      </c>
      <c r="C27" s="13">
        <f t="shared" si="0"/>
        <v>2195968.7005206225</v>
      </c>
      <c r="D27" s="12">
        <f t="shared" si="1"/>
        <v>506281.10156065994</v>
      </c>
      <c r="E27" s="12">
        <f t="shared" si="2"/>
        <v>2702249.8020812827</v>
      </c>
      <c r="F27" s="13">
        <f t="shared" si="3"/>
        <v>43918242.863527417</v>
      </c>
      <c r="G27" s="13">
        <v>0</v>
      </c>
      <c r="H27" s="12">
        <f t="shared" si="4"/>
        <v>2702249.8020812827</v>
      </c>
      <c r="I27"/>
    </row>
    <row r="28" spans="2:11" x14ac:dyDescent="0.25">
      <c r="B28" s="1">
        <v>19</v>
      </c>
      <c r="C28" s="13">
        <f t="shared" si="0"/>
        <v>2220077.9157708534</v>
      </c>
      <c r="D28" s="12">
        <f t="shared" si="1"/>
        <v>482171.88631042925</v>
      </c>
      <c r="E28" s="12">
        <f t="shared" si="2"/>
        <v>2702249.8020812827</v>
      </c>
      <c r="F28" s="13">
        <f t="shared" si="3"/>
        <v>41698164.947756566</v>
      </c>
      <c r="G28" s="13">
        <v>0</v>
      </c>
      <c r="H28" s="12">
        <f t="shared" si="4"/>
        <v>2702249.8020812827</v>
      </c>
      <c r="I28"/>
    </row>
    <row r="29" spans="2:11" x14ac:dyDescent="0.25">
      <c r="B29" s="1">
        <v>20</v>
      </c>
      <c r="C29" s="13">
        <f t="shared" si="0"/>
        <v>2244451.8225259511</v>
      </c>
      <c r="D29" s="12">
        <f t="shared" si="1"/>
        <v>457797.97955533146</v>
      </c>
      <c r="E29" s="12">
        <f t="shared" si="2"/>
        <v>2702249.8020812827</v>
      </c>
      <c r="F29" s="13">
        <f t="shared" si="3"/>
        <v>39453713.125230618</v>
      </c>
      <c r="G29" s="13">
        <v>0</v>
      </c>
      <c r="H29" s="12">
        <f t="shared" si="4"/>
        <v>2702249.8020812827</v>
      </c>
      <c r="I29"/>
    </row>
    <row r="30" spans="2:11" x14ac:dyDescent="0.25">
      <c r="B30" s="1">
        <v>21</v>
      </c>
      <c r="C30" s="13">
        <f t="shared" si="0"/>
        <v>2269093.3267947608</v>
      </c>
      <c r="D30" s="12">
        <f t="shared" si="1"/>
        <v>433156.47528652207</v>
      </c>
      <c r="E30" s="12">
        <f t="shared" si="2"/>
        <v>2702249.8020812827</v>
      </c>
      <c r="F30" s="13">
        <f t="shared" si="3"/>
        <v>37184619.798435859</v>
      </c>
      <c r="G30" s="13">
        <v>0</v>
      </c>
      <c r="H30" s="12">
        <f t="shared" si="4"/>
        <v>2702249.8020812827</v>
      </c>
      <c r="I30"/>
    </row>
    <row r="31" spans="2:11" x14ac:dyDescent="0.25">
      <c r="B31" s="1">
        <v>22</v>
      </c>
      <c r="C31" s="13">
        <f t="shared" si="0"/>
        <v>2294005.3664907669</v>
      </c>
      <c r="D31" s="12">
        <f t="shared" si="1"/>
        <v>408244.4355905159</v>
      </c>
      <c r="E31" s="12">
        <f t="shared" si="2"/>
        <v>2702249.8020812827</v>
      </c>
      <c r="F31" s="13">
        <f t="shared" si="3"/>
        <v>34890614.431945093</v>
      </c>
      <c r="G31" s="13">
        <v>0</v>
      </c>
      <c r="H31" s="12">
        <f t="shared" si="4"/>
        <v>2702249.8020812827</v>
      </c>
      <c r="I31"/>
    </row>
    <row r="32" spans="2:11" x14ac:dyDescent="0.25">
      <c r="B32" s="1">
        <v>23</v>
      </c>
      <c r="C32" s="13">
        <f t="shared" si="0"/>
        <v>2319190.9117823723</v>
      </c>
      <c r="D32" s="12">
        <f t="shared" si="1"/>
        <v>383058.89029891038</v>
      </c>
      <c r="E32" s="12">
        <f t="shared" si="2"/>
        <v>2702249.8020812827</v>
      </c>
      <c r="F32" s="13">
        <f t="shared" si="3"/>
        <v>32571423.52016272</v>
      </c>
      <c r="G32" s="13">
        <v>0</v>
      </c>
      <c r="H32" s="12">
        <f t="shared" si="4"/>
        <v>2702249.8020812827</v>
      </c>
      <c r="I32"/>
    </row>
    <row r="33" spans="2:9" x14ac:dyDescent="0.25">
      <c r="B33" s="1">
        <v>24</v>
      </c>
      <c r="C33" s="13">
        <f t="shared" si="0"/>
        <v>2344652.9654470189</v>
      </c>
      <c r="D33" s="12">
        <f t="shared" si="1"/>
        <v>357596.83663426392</v>
      </c>
      <c r="E33" s="12">
        <f t="shared" si="2"/>
        <v>2702249.8020812827</v>
      </c>
      <c r="F33" s="13">
        <f t="shared" si="3"/>
        <v>30226770.5547157</v>
      </c>
      <c r="G33" s="13">
        <v>0</v>
      </c>
      <c r="H33" s="12">
        <f t="shared" si="4"/>
        <v>2702249.8020812827</v>
      </c>
      <c r="I33"/>
    </row>
    <row r="34" spans="2:9" x14ac:dyDescent="0.25">
      <c r="B34" s="1">
        <v>25</v>
      </c>
      <c r="C34" s="13">
        <f t="shared" si="0"/>
        <v>2370394.5632291967</v>
      </c>
      <c r="D34" s="12">
        <f t="shared" si="1"/>
        <v>331855.23885208595</v>
      </c>
      <c r="E34" s="12">
        <f t="shared" si="2"/>
        <v>2702249.8020812827</v>
      </c>
      <c r="F34" s="13">
        <f t="shared" si="3"/>
        <v>27856375.991486505</v>
      </c>
      <c r="G34" s="13">
        <v>0</v>
      </c>
      <c r="H34" s="12">
        <f t="shared" si="4"/>
        <v>2702249.8020812827</v>
      </c>
      <c r="I34"/>
    </row>
    <row r="35" spans="2:9" x14ac:dyDescent="0.25">
      <c r="B35" s="1">
        <v>26</v>
      </c>
      <c r="C35" s="13">
        <f t="shared" si="0"/>
        <v>2396418.7742023864</v>
      </c>
      <c r="D35" s="12">
        <f t="shared" si="1"/>
        <v>305831.02787889651</v>
      </c>
      <c r="E35" s="12">
        <f t="shared" si="2"/>
        <v>2702249.8020812827</v>
      </c>
      <c r="F35" s="13">
        <f t="shared" si="3"/>
        <v>25459957.217284117</v>
      </c>
      <c r="G35" s="13">
        <v>0</v>
      </c>
      <c r="H35" s="12">
        <f t="shared" si="4"/>
        <v>2702249.8020812827</v>
      </c>
      <c r="I35"/>
    </row>
    <row r="36" spans="2:9" x14ac:dyDescent="0.25">
      <c r="B36" s="1">
        <v>27</v>
      </c>
      <c r="C36" s="13">
        <f t="shared" si="0"/>
        <v>2422728.7011349704</v>
      </c>
      <c r="D36" s="12">
        <f t="shared" si="1"/>
        <v>279521.10094631236</v>
      </c>
      <c r="E36" s="12">
        <f t="shared" si="2"/>
        <v>2702249.8020812827</v>
      </c>
      <c r="F36" s="13">
        <f t="shared" si="3"/>
        <v>23037228.516149148</v>
      </c>
      <c r="G36" s="13">
        <v>0</v>
      </c>
      <c r="H36" s="12">
        <f t="shared" si="4"/>
        <v>2702249.8020812827</v>
      </c>
      <c r="I36"/>
    </row>
    <row r="37" spans="2:9" x14ac:dyDescent="0.25">
      <c r="B37" s="1">
        <v>28</v>
      </c>
      <c r="C37" s="13">
        <f t="shared" si="0"/>
        <v>2449327.4808601672</v>
      </c>
      <c r="D37" s="12">
        <f t="shared" si="1"/>
        <v>252922.32122111553</v>
      </c>
      <c r="E37" s="12">
        <f t="shared" si="2"/>
        <v>2702249.8020812827</v>
      </c>
      <c r="F37" s="13">
        <f t="shared" si="3"/>
        <v>20587901.035288982</v>
      </c>
      <c r="G37" s="13">
        <v>0</v>
      </c>
      <c r="H37" s="12">
        <f t="shared" si="4"/>
        <v>2702249.8020812827</v>
      </c>
      <c r="I37"/>
    </row>
    <row r="38" spans="2:9" x14ac:dyDescent="0.25">
      <c r="B38" s="1">
        <v>29</v>
      </c>
      <c r="C38" s="13">
        <f t="shared" si="0"/>
        <v>2476218.2846500222</v>
      </c>
      <c r="D38" s="12">
        <f t="shared" si="1"/>
        <v>226031.51743126046</v>
      </c>
      <c r="E38" s="12">
        <f t="shared" si="2"/>
        <v>2702249.8020812827</v>
      </c>
      <c r="F38" s="13">
        <f t="shared" si="3"/>
        <v>18111682.750638962</v>
      </c>
      <c r="G38" s="13">
        <v>0</v>
      </c>
      <c r="H38" s="12">
        <f t="shared" si="4"/>
        <v>2702249.8020812827</v>
      </c>
      <c r="I38"/>
    </row>
    <row r="39" spans="2:9" x14ac:dyDescent="0.25">
      <c r="B39" s="1">
        <v>30</v>
      </c>
      <c r="C39" s="13">
        <f t="shared" si="0"/>
        <v>2503404.3185935072</v>
      </c>
      <c r="D39" s="12">
        <f t="shared" si="1"/>
        <v>198845.48348777543</v>
      </c>
      <c r="E39" s="12">
        <f t="shared" si="2"/>
        <v>2702249.8020812827</v>
      </c>
      <c r="F39" s="13">
        <f t="shared" si="3"/>
        <v>15608278.432045454</v>
      </c>
      <c r="G39" s="13">
        <v>0</v>
      </c>
      <c r="H39" s="12">
        <f t="shared" si="4"/>
        <v>2702249.8020812827</v>
      </c>
      <c r="I39"/>
    </row>
    <row r="40" spans="2:9" x14ac:dyDescent="0.25">
      <c r="B40" s="1">
        <v>31</v>
      </c>
      <c r="C40" s="13">
        <f t="shared" si="0"/>
        <v>2530888.8239787701</v>
      </c>
      <c r="D40" s="12">
        <f t="shared" si="1"/>
        <v>171360.97810251245</v>
      </c>
      <c r="E40" s="12">
        <f t="shared" si="2"/>
        <v>2702249.8020812827</v>
      </c>
      <c r="F40" s="13">
        <f t="shared" si="3"/>
        <v>13077389.608066684</v>
      </c>
      <c r="G40" s="13">
        <v>0</v>
      </c>
      <c r="H40" s="12">
        <f t="shared" si="4"/>
        <v>2702249.8020812827</v>
      </c>
      <c r="I40"/>
    </row>
    <row r="41" spans="2:9" x14ac:dyDescent="0.25">
      <c r="B41" s="1">
        <v>32</v>
      </c>
      <c r="C41" s="13">
        <f t="shared" si="0"/>
        <v>2558675.0776795819</v>
      </c>
      <c r="D41" s="12">
        <f t="shared" si="1"/>
        <v>143574.72440170095</v>
      </c>
      <c r="E41" s="12">
        <f t="shared" si="2"/>
        <v>2702249.8020812827</v>
      </c>
      <c r="F41" s="13">
        <f t="shared" si="3"/>
        <v>10518714.530387102</v>
      </c>
      <c r="G41" s="13">
        <v>0</v>
      </c>
      <c r="H41" s="12">
        <f t="shared" si="4"/>
        <v>2702249.8020812827</v>
      </c>
      <c r="I41"/>
    </row>
    <row r="42" spans="2:9" x14ac:dyDescent="0.25">
      <c r="B42" s="1">
        <v>33</v>
      </c>
      <c r="C42" s="13">
        <f t="shared" si="0"/>
        <v>2586766.3925460246</v>
      </c>
      <c r="D42" s="12">
        <f t="shared" si="1"/>
        <v>115483.40953525825</v>
      </c>
      <c r="E42" s="12">
        <f t="shared" si="2"/>
        <v>2702249.8020812827</v>
      </c>
      <c r="F42" s="13">
        <f t="shared" si="3"/>
        <v>7931948.1378410775</v>
      </c>
      <c r="G42" s="13">
        <v>0</v>
      </c>
      <c r="H42" s="12">
        <f t="shared" si="4"/>
        <v>2702249.8020812827</v>
      </c>
      <c r="I42"/>
    </row>
    <row r="43" spans="2:9" x14ac:dyDescent="0.25">
      <c r="B43" s="1">
        <v>34</v>
      </c>
      <c r="C43" s="13">
        <f t="shared" si="0"/>
        <v>2615166.1177994716</v>
      </c>
      <c r="D43" s="12">
        <f t="shared" si="1"/>
        <v>87083.684281811191</v>
      </c>
      <c r="E43" s="12">
        <f t="shared" si="2"/>
        <v>2702249.8020812827</v>
      </c>
      <c r="F43" s="13">
        <f t="shared" si="3"/>
        <v>5316782.0200416055</v>
      </c>
      <c r="G43" s="13">
        <v>0</v>
      </c>
      <c r="H43" s="12">
        <f t="shared" si="4"/>
        <v>2702249.8020812827</v>
      </c>
      <c r="I43"/>
    </row>
    <row r="44" spans="2:9" x14ac:dyDescent="0.25">
      <c r="B44" s="1">
        <v>35</v>
      </c>
      <c r="C44" s="13">
        <f t="shared" si="0"/>
        <v>2643877.6394319017</v>
      </c>
      <c r="D44" s="12">
        <f t="shared" si="1"/>
        <v>58372.162649380924</v>
      </c>
      <c r="E44" s="12">
        <f t="shared" si="2"/>
        <v>2702249.8020812827</v>
      </c>
      <c r="F44" s="13">
        <f t="shared" si="3"/>
        <v>2672904.3806097037</v>
      </c>
      <c r="G44" s="13">
        <v>0</v>
      </c>
      <c r="H44" s="12">
        <f t="shared" si="4"/>
        <v>2702249.8020812827</v>
      </c>
      <c r="I44"/>
    </row>
    <row r="45" spans="2:9" x14ac:dyDescent="0.25">
      <c r="B45" s="1">
        <v>36</v>
      </c>
      <c r="C45" s="13">
        <f t="shared" si="0"/>
        <v>2672904.3806095989</v>
      </c>
      <c r="D45" s="12">
        <f t="shared" si="1"/>
        <v>29345.421471684007</v>
      </c>
      <c r="E45" s="12">
        <f t="shared" si="2"/>
        <v>2702249.8020812827</v>
      </c>
      <c r="F45" s="13">
        <f t="shared" si="3"/>
        <v>1.0477378964424133E-7</v>
      </c>
      <c r="G45" s="13">
        <v>0</v>
      </c>
      <c r="H45" s="12">
        <f t="shared" si="4"/>
        <v>2702249.8020812827</v>
      </c>
      <c r="I45"/>
    </row>
    <row r="46" spans="2:9" x14ac:dyDescent="0.25">
      <c r="I46"/>
    </row>
    <row r="47" spans="2:9" x14ac:dyDescent="0.25">
      <c r="C47" s="11"/>
      <c r="I47"/>
    </row>
  </sheetData>
  <mergeCells count="1">
    <mergeCell ref="B3:H3"/>
  </mergeCells>
  <dataValidations count="1">
    <dataValidation allowBlank="1" showInputMessage="1" showErrorMessage="1" prompt="Este libro genera un programa de amortización del préstamo que calcula el interés total, el total de pagos e incluye la opción de pagos extra." sqref="K8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1"/>
  <sheetViews>
    <sheetView workbookViewId="0">
      <selection activeCell="G20" sqref="G20"/>
    </sheetView>
  </sheetViews>
  <sheetFormatPr baseColWidth="10" defaultRowHeight="15" x14ac:dyDescent="0.25"/>
  <cols>
    <col min="1" max="1" width="4.140625" customWidth="1"/>
    <col min="2" max="2" width="23.28515625" bestFit="1" customWidth="1"/>
    <col min="3" max="3" width="20.42578125" customWidth="1"/>
    <col min="4" max="4" width="7.140625" bestFit="1" customWidth="1"/>
    <col min="5" max="5" width="10.5703125" bestFit="1" customWidth="1"/>
    <col min="6" max="6" width="10" bestFit="1" customWidth="1"/>
    <col min="7" max="7" width="8.7109375" customWidth="1"/>
    <col min="8" max="8" width="8.42578125" customWidth="1"/>
    <col min="9" max="9" width="8.140625" customWidth="1"/>
    <col min="10" max="10" width="8.7109375" customWidth="1"/>
    <col min="11" max="11" width="8.5703125" customWidth="1"/>
    <col min="12" max="12" width="8.42578125" customWidth="1"/>
    <col min="13" max="13" width="8.5703125" customWidth="1"/>
    <col min="14" max="14" width="9.28515625" customWidth="1"/>
    <col min="15" max="15" width="9.5703125" customWidth="1"/>
    <col min="16" max="16" width="9.140625" customWidth="1"/>
    <col min="18" max="18" width="14" bestFit="1" customWidth="1"/>
    <col min="19" max="19" width="13" bestFit="1" customWidth="1"/>
  </cols>
  <sheetData>
    <row r="2" spans="1:19" x14ac:dyDescent="0.25">
      <c r="H2" s="122"/>
      <c r="I2" s="122"/>
      <c r="J2" s="122"/>
    </row>
    <row r="4" spans="1:19" ht="15.75" thickBot="1" x14ac:dyDescent="0.3">
      <c r="A4" s="123" t="s">
        <v>140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</row>
    <row r="5" spans="1:19" x14ac:dyDescent="0.25">
      <c r="A5" s="42" t="s">
        <v>76</v>
      </c>
      <c r="B5" s="41" t="s">
        <v>80</v>
      </c>
      <c r="C5" s="41" t="s">
        <v>74</v>
      </c>
      <c r="D5" s="35" t="s">
        <v>65</v>
      </c>
      <c r="E5" s="35" t="s">
        <v>64</v>
      </c>
      <c r="F5" s="35" t="s">
        <v>63</v>
      </c>
      <c r="G5" s="35" t="s">
        <v>62</v>
      </c>
      <c r="H5" s="35" t="s">
        <v>61</v>
      </c>
      <c r="I5" s="35" t="s">
        <v>60</v>
      </c>
      <c r="J5" s="35" t="s">
        <v>59</v>
      </c>
      <c r="K5" s="35" t="s">
        <v>58</v>
      </c>
      <c r="L5" s="35" t="s">
        <v>57</v>
      </c>
      <c r="M5" s="35" t="s">
        <v>56</v>
      </c>
      <c r="N5" s="35" t="s">
        <v>55</v>
      </c>
      <c r="O5" s="35" t="s">
        <v>54</v>
      </c>
      <c r="P5" s="34" t="s">
        <v>6</v>
      </c>
    </row>
    <row r="6" spans="1:19" x14ac:dyDescent="0.25">
      <c r="A6" s="1">
        <v>1</v>
      </c>
      <c r="B6" s="33" t="s">
        <v>124</v>
      </c>
      <c r="C6" s="119">
        <v>1</v>
      </c>
      <c r="D6" s="1">
        <v>900</v>
      </c>
      <c r="E6" s="37">
        <v>930</v>
      </c>
      <c r="F6" s="37">
        <v>960</v>
      </c>
      <c r="G6" s="37">
        <v>990</v>
      </c>
      <c r="H6" s="37">
        <v>1020</v>
      </c>
      <c r="I6" s="37">
        <v>1040</v>
      </c>
      <c r="J6" s="37">
        <v>1060</v>
      </c>
      <c r="K6" s="37">
        <v>1080</v>
      </c>
      <c r="L6" s="37">
        <v>1100</v>
      </c>
      <c r="M6" s="37">
        <v>1130</v>
      </c>
      <c r="N6" s="37">
        <v>1160</v>
      </c>
      <c r="O6" s="37">
        <v>1190</v>
      </c>
      <c r="P6" s="37">
        <f>SUM(C6:O6)</f>
        <v>12561</v>
      </c>
      <c r="R6" s="5"/>
    </row>
    <row r="7" spans="1:19" x14ac:dyDescent="0.25">
      <c r="A7" s="1">
        <v>2</v>
      </c>
      <c r="B7" s="1" t="s">
        <v>125</v>
      </c>
      <c r="C7" s="1">
        <v>1</v>
      </c>
      <c r="D7" s="1">
        <v>400</v>
      </c>
      <c r="E7" s="1">
        <v>420</v>
      </c>
      <c r="F7" s="1">
        <v>440</v>
      </c>
      <c r="G7" s="1">
        <v>460</v>
      </c>
      <c r="H7" s="1">
        <v>480</v>
      </c>
      <c r="I7" s="1">
        <v>500</v>
      </c>
      <c r="J7" s="1">
        <v>520</v>
      </c>
      <c r="K7" s="1">
        <v>540</v>
      </c>
      <c r="L7" s="1">
        <v>560</v>
      </c>
      <c r="M7" s="1">
        <v>580</v>
      </c>
      <c r="N7" s="1">
        <v>600</v>
      </c>
      <c r="O7" s="1">
        <v>620</v>
      </c>
      <c r="P7" s="37">
        <f>SUM(C7:O7)</f>
        <v>6121</v>
      </c>
      <c r="R7" s="5"/>
    </row>
    <row r="8" spans="1:19" x14ac:dyDescent="0.25">
      <c r="A8" s="1">
        <v>3</v>
      </c>
      <c r="B8" s="1" t="s">
        <v>126</v>
      </c>
      <c r="C8" s="1">
        <v>1</v>
      </c>
      <c r="D8" s="1">
        <v>900</v>
      </c>
      <c r="E8" s="1">
        <v>940</v>
      </c>
      <c r="F8" s="1">
        <v>970</v>
      </c>
      <c r="G8" s="1">
        <v>1000</v>
      </c>
      <c r="H8" s="1">
        <v>1030</v>
      </c>
      <c r="I8" s="1">
        <v>1050</v>
      </c>
      <c r="J8" s="1">
        <v>1070</v>
      </c>
      <c r="K8" s="1">
        <v>1090</v>
      </c>
      <c r="L8" s="1">
        <v>1110</v>
      </c>
      <c r="M8" s="1">
        <v>1140</v>
      </c>
      <c r="N8" s="1">
        <v>1170</v>
      </c>
      <c r="O8" s="1">
        <v>1200</v>
      </c>
      <c r="P8" s="1">
        <f>SUM(C8:O8)</f>
        <v>12671</v>
      </c>
      <c r="R8" s="5"/>
    </row>
    <row r="9" spans="1:19" x14ac:dyDescent="0.25">
      <c r="R9" s="10"/>
      <c r="S9" s="10"/>
    </row>
    <row r="10" spans="1:19" x14ac:dyDescent="0.25">
      <c r="B10" s="18"/>
      <c r="C10" s="40" t="s">
        <v>74</v>
      </c>
      <c r="D10" s="39" t="s">
        <v>65</v>
      </c>
      <c r="E10" s="39" t="s">
        <v>64</v>
      </c>
      <c r="F10" s="39" t="s">
        <v>63</v>
      </c>
      <c r="G10" s="39" t="s">
        <v>62</v>
      </c>
      <c r="H10" s="39" t="s">
        <v>61</v>
      </c>
      <c r="I10" s="39" t="s">
        <v>60</v>
      </c>
      <c r="J10" s="39" t="s">
        <v>59</v>
      </c>
      <c r="K10" s="39" t="s">
        <v>58</v>
      </c>
      <c r="L10" s="39" t="s">
        <v>57</v>
      </c>
      <c r="M10" s="39" t="s">
        <v>56</v>
      </c>
      <c r="N10" s="39" t="s">
        <v>55</v>
      </c>
      <c r="O10" s="39" t="s">
        <v>54</v>
      </c>
    </row>
    <row r="11" spans="1:19" x14ac:dyDescent="0.25">
      <c r="B11" s="1" t="s">
        <v>79</v>
      </c>
      <c r="C11" s="33">
        <f>C6</f>
        <v>1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</row>
    <row r="12" spans="1:19" x14ac:dyDescent="0.25">
      <c r="B12" s="18" t="s">
        <v>78</v>
      </c>
      <c r="C12" s="38">
        <f>C11</f>
        <v>1</v>
      </c>
      <c r="D12" s="18">
        <v>900</v>
      </c>
      <c r="E12" s="37">
        <v>930</v>
      </c>
      <c r="F12" s="37">
        <v>960</v>
      </c>
      <c r="G12" s="37">
        <v>990</v>
      </c>
      <c r="H12" s="37">
        <v>1020</v>
      </c>
      <c r="I12" s="37">
        <v>1040</v>
      </c>
      <c r="J12" s="37">
        <v>1060</v>
      </c>
      <c r="K12" s="37">
        <v>1080</v>
      </c>
      <c r="L12" s="37">
        <v>1100</v>
      </c>
      <c r="M12" s="37">
        <v>1130</v>
      </c>
      <c r="N12" s="37">
        <v>1160</v>
      </c>
      <c r="O12" s="37">
        <v>1190</v>
      </c>
      <c r="Q12" s="93"/>
    </row>
    <row r="13" spans="1:19" x14ac:dyDescent="0.25">
      <c r="B13" s="1" t="s">
        <v>77</v>
      </c>
      <c r="C13" s="33">
        <f>C12</f>
        <v>1</v>
      </c>
      <c r="D13" s="1">
        <v>900</v>
      </c>
      <c r="E13" s="37">
        <v>930</v>
      </c>
      <c r="F13" s="37">
        <v>960</v>
      </c>
      <c r="G13" s="37">
        <v>990</v>
      </c>
      <c r="H13" s="37">
        <v>1020</v>
      </c>
      <c r="I13" s="37">
        <v>1040</v>
      </c>
      <c r="J13" s="37">
        <v>1060</v>
      </c>
      <c r="K13" s="37">
        <v>1080</v>
      </c>
      <c r="L13" s="37">
        <v>1100</v>
      </c>
      <c r="M13" s="37">
        <v>1130</v>
      </c>
      <c r="N13" s="37">
        <v>1160</v>
      </c>
      <c r="O13" s="37">
        <v>1190</v>
      </c>
      <c r="Q13" s="93"/>
    </row>
    <row r="16" spans="1:19" ht="15.75" thickBot="1" x14ac:dyDescent="0.3"/>
    <row r="17" spans="1:6" ht="30" x14ac:dyDescent="0.25">
      <c r="A17" s="36" t="s">
        <v>76</v>
      </c>
      <c r="B17" s="35" t="s">
        <v>75</v>
      </c>
      <c r="C17" s="35" t="s">
        <v>74</v>
      </c>
      <c r="D17" s="35" t="s">
        <v>73</v>
      </c>
      <c r="E17" s="35" t="s">
        <v>72</v>
      </c>
      <c r="F17" s="34" t="s">
        <v>71</v>
      </c>
    </row>
    <row r="18" spans="1:6" x14ac:dyDescent="0.25">
      <c r="A18" s="1">
        <v>1</v>
      </c>
      <c r="B18" s="33" t="str">
        <f>B6</f>
        <v>PLATOS FUERTES</v>
      </c>
      <c r="C18" s="1">
        <v>1</v>
      </c>
      <c r="D18" s="1">
        <v>0</v>
      </c>
      <c r="E18" s="33">
        <v>13000</v>
      </c>
      <c r="F18" s="33">
        <v>0</v>
      </c>
    </row>
    <row r="19" spans="1:6" x14ac:dyDescent="0.25">
      <c r="A19" s="1">
        <v>2</v>
      </c>
      <c r="B19" s="33" t="s">
        <v>125</v>
      </c>
      <c r="C19" s="1">
        <v>1</v>
      </c>
      <c r="D19" s="1">
        <v>0</v>
      </c>
      <c r="E19" s="33">
        <v>5000</v>
      </c>
      <c r="F19" s="33"/>
    </row>
    <row r="20" spans="1:6" x14ac:dyDescent="0.25">
      <c r="A20" s="1">
        <v>3</v>
      </c>
      <c r="B20" s="33" t="s">
        <v>126</v>
      </c>
      <c r="C20" s="1">
        <v>1</v>
      </c>
      <c r="D20" s="1">
        <v>0</v>
      </c>
      <c r="E20" s="33">
        <v>2000</v>
      </c>
      <c r="F20" s="33"/>
    </row>
    <row r="21" spans="1:6" x14ac:dyDescent="0.25">
      <c r="A21" s="1"/>
      <c r="B21" s="1"/>
      <c r="C21" s="1"/>
      <c r="D21" s="1"/>
      <c r="E21" s="18" t="s">
        <v>6</v>
      </c>
      <c r="F21" s="33">
        <f>F18</f>
        <v>0</v>
      </c>
    </row>
  </sheetData>
  <mergeCells count="2">
    <mergeCell ref="H2:J2"/>
    <mergeCell ref="A4:P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N14" sqref="N14"/>
    </sheetView>
  </sheetViews>
  <sheetFormatPr baseColWidth="10" defaultRowHeight="15" x14ac:dyDescent="0.25"/>
  <cols>
    <col min="1" max="1" width="21.42578125" bestFit="1" customWidth="1"/>
    <col min="2" max="2" width="19.85546875" style="83" bestFit="1" customWidth="1"/>
    <col min="3" max="3" width="15.7109375" customWidth="1"/>
    <col min="4" max="4" width="16.140625" customWidth="1"/>
    <col min="5" max="5" width="12.5703125" bestFit="1" customWidth="1"/>
  </cols>
  <sheetData>
    <row r="2" spans="1:8" x14ac:dyDescent="0.25">
      <c r="H2" s="84"/>
    </row>
    <row r="5" spans="1:8" x14ac:dyDescent="0.25">
      <c r="A5" s="1" t="s">
        <v>127</v>
      </c>
      <c r="B5" s="112">
        <f>INGRESOS!C28/SUM(INGRESOS!C14)</f>
        <v>17093.556618819777</v>
      </c>
    </row>
    <row r="6" spans="1:8" x14ac:dyDescent="0.25">
      <c r="A6" s="1" t="s">
        <v>128</v>
      </c>
      <c r="B6" s="112">
        <f>EGRESOS!C14/SUM(INGRESOS!C14)</f>
        <v>2840.1913875598084</v>
      </c>
      <c r="C6" s="14"/>
    </row>
    <row r="7" spans="1:8" x14ac:dyDescent="0.25">
      <c r="A7" s="1" t="s">
        <v>129</v>
      </c>
      <c r="B7" s="112">
        <f>B5-B6</f>
        <v>14253.36523125997</v>
      </c>
    </row>
    <row r="8" spans="1:8" x14ac:dyDescent="0.25">
      <c r="A8" s="1" t="s">
        <v>130</v>
      </c>
      <c r="B8" s="112">
        <v>166860000</v>
      </c>
    </row>
    <row r="9" spans="1:8" x14ac:dyDescent="0.25">
      <c r="A9" s="18" t="s">
        <v>131</v>
      </c>
      <c r="B9" s="112">
        <f>B8/B7</f>
        <v>11706.709067838143</v>
      </c>
    </row>
    <row r="10" spans="1:8" x14ac:dyDescent="0.25">
      <c r="A10" s="18" t="s">
        <v>132</v>
      </c>
      <c r="B10" s="112">
        <f>B9*B5</f>
        <v>200109294.27114218</v>
      </c>
    </row>
    <row r="13" spans="1:8" x14ac:dyDescent="0.25">
      <c r="A13" s="18" t="s">
        <v>133</v>
      </c>
      <c r="B13" s="112">
        <v>0</v>
      </c>
      <c r="C13" s="101">
        <f>D13*0.5</f>
        <v>5853.3545339190714</v>
      </c>
      <c r="D13" s="101">
        <f>B9</f>
        <v>11706.709067838143</v>
      </c>
      <c r="E13" s="101">
        <f>D13*1.5</f>
        <v>17560.063601757214</v>
      </c>
    </row>
    <row r="14" spans="1:8" x14ac:dyDescent="0.25">
      <c r="A14" s="18" t="s">
        <v>134</v>
      </c>
      <c r="B14" s="112">
        <f>B13*$B$5</f>
        <v>0</v>
      </c>
      <c r="C14" s="112">
        <f>C13*$B$5</f>
        <v>100054647.13557109</v>
      </c>
      <c r="D14" s="112">
        <f>D13*$B$5</f>
        <v>200109294.27114218</v>
      </c>
      <c r="E14" s="112">
        <f>E13*$B$5</f>
        <v>300163941.40671331</v>
      </c>
    </row>
    <row r="15" spans="1:8" x14ac:dyDescent="0.25">
      <c r="A15" s="18" t="s">
        <v>135</v>
      </c>
      <c r="B15" s="112">
        <f>$B$8+B13*$B$6</f>
        <v>166860000</v>
      </c>
      <c r="C15" s="112">
        <f>$B$8+C13*$B$6</f>
        <v>183484647.13557109</v>
      </c>
      <c r="D15" s="112">
        <f>$B$8+D13*$B$6</f>
        <v>200109294.27114221</v>
      </c>
      <c r="E15" s="112">
        <f>$B$8+E13*$B$6</f>
        <v>216733941.40671331</v>
      </c>
    </row>
    <row r="16" spans="1:8" x14ac:dyDescent="0.25">
      <c r="A16" s="18" t="s">
        <v>130</v>
      </c>
      <c r="B16" s="112">
        <f>B8</f>
        <v>166860000</v>
      </c>
      <c r="C16" s="101">
        <f>B16</f>
        <v>166860000</v>
      </c>
      <c r="D16" s="101">
        <f>C16</f>
        <v>166860000</v>
      </c>
      <c r="E16" s="101">
        <f>D16</f>
        <v>166860000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6"/>
  <sheetViews>
    <sheetView workbookViewId="0">
      <selection activeCell="I34" sqref="I34"/>
    </sheetView>
  </sheetViews>
  <sheetFormatPr baseColWidth="10" defaultRowHeight="15" x14ac:dyDescent="0.25"/>
  <cols>
    <col min="1" max="1" width="3.28515625" style="43" customWidth="1"/>
    <col min="2" max="2" width="28.85546875" style="43" bestFit="1" customWidth="1"/>
    <col min="3" max="3" width="15.140625" style="43" customWidth="1"/>
    <col min="4" max="4" width="13.85546875" style="43" customWidth="1"/>
    <col min="5" max="7" width="12.5703125" style="43" bestFit="1" customWidth="1"/>
    <col min="8" max="8" width="13" style="43" customWidth="1"/>
    <col min="9" max="9" width="11.7109375" style="43" customWidth="1"/>
    <col min="10" max="10" width="13.140625" style="43" customWidth="1"/>
    <col min="11" max="11" width="15.85546875" style="43" customWidth="1"/>
    <col min="12" max="12" width="14.42578125" style="43" customWidth="1"/>
    <col min="13" max="13" width="14" style="43" customWidth="1"/>
    <col min="14" max="14" width="14.140625" style="43" customWidth="1"/>
    <col min="15" max="15" width="17.5703125" style="43" customWidth="1"/>
    <col min="16" max="16384" width="11.42578125" style="43"/>
  </cols>
  <sheetData>
    <row r="2" spans="1:15" x14ac:dyDescent="0.25">
      <c r="A2" s="124" t="s">
        <v>141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1:15" x14ac:dyDescent="0.25">
      <c r="A3" s="107" t="s">
        <v>76</v>
      </c>
      <c r="B3" s="108" t="s">
        <v>87</v>
      </c>
      <c r="C3" s="109" t="s">
        <v>65</v>
      </c>
      <c r="D3" s="109" t="s">
        <v>64</v>
      </c>
      <c r="E3" s="109" t="s">
        <v>63</v>
      </c>
      <c r="F3" s="109" t="s">
        <v>62</v>
      </c>
      <c r="G3" s="109" t="s">
        <v>61</v>
      </c>
      <c r="H3" s="109" t="s">
        <v>60</v>
      </c>
      <c r="I3" s="109" t="s">
        <v>59</v>
      </c>
      <c r="J3" s="109" t="s">
        <v>58</v>
      </c>
      <c r="K3" s="109" t="s">
        <v>57</v>
      </c>
      <c r="L3" s="109" t="s">
        <v>56</v>
      </c>
      <c r="M3" s="109" t="s">
        <v>55</v>
      </c>
      <c r="N3" s="109" t="s">
        <v>54</v>
      </c>
      <c r="O3" s="110" t="s">
        <v>6</v>
      </c>
    </row>
    <row r="4" spans="1:15" x14ac:dyDescent="0.25">
      <c r="A4" s="48">
        <v>1</v>
      </c>
      <c r="B4" s="47" t="s">
        <v>136</v>
      </c>
      <c r="C4" s="1">
        <v>900</v>
      </c>
      <c r="D4" s="37">
        <v>930</v>
      </c>
      <c r="E4" s="37">
        <v>960</v>
      </c>
      <c r="F4" s="37">
        <v>990</v>
      </c>
      <c r="G4" s="37">
        <v>1020</v>
      </c>
      <c r="H4" s="37">
        <v>1040</v>
      </c>
      <c r="I4" s="37">
        <v>1060</v>
      </c>
      <c r="J4" s="37">
        <v>1080</v>
      </c>
      <c r="K4" s="37">
        <v>1100</v>
      </c>
      <c r="L4" s="37">
        <v>1130</v>
      </c>
      <c r="M4" s="37">
        <v>1160</v>
      </c>
      <c r="N4" s="37">
        <v>1190</v>
      </c>
      <c r="O4" s="46">
        <f>SUM(C4:N4)</f>
        <v>12560</v>
      </c>
    </row>
    <row r="5" spans="1:15" x14ac:dyDescent="0.25">
      <c r="A5" s="47">
        <v>2</v>
      </c>
      <c r="B5" s="47" t="s">
        <v>137</v>
      </c>
      <c r="C5" s="1">
        <v>400</v>
      </c>
      <c r="D5" s="1">
        <v>420</v>
      </c>
      <c r="E5" s="1">
        <v>440</v>
      </c>
      <c r="F5" s="1">
        <v>460</v>
      </c>
      <c r="G5" s="1">
        <v>480</v>
      </c>
      <c r="H5" s="1">
        <v>500</v>
      </c>
      <c r="I5" s="1">
        <v>520</v>
      </c>
      <c r="J5" s="1">
        <v>540</v>
      </c>
      <c r="K5" s="1">
        <v>560</v>
      </c>
      <c r="L5" s="1">
        <v>580</v>
      </c>
      <c r="M5" s="1">
        <v>600</v>
      </c>
      <c r="N5" s="1">
        <v>620</v>
      </c>
      <c r="O5" s="25">
        <f>C5+D5+E5+F5+G5+H5+I5+J5+K5+L5+M5+N5</f>
        <v>6120</v>
      </c>
    </row>
    <row r="6" spans="1:15" x14ac:dyDescent="0.25">
      <c r="A6" s="47">
        <v>3</v>
      </c>
      <c r="B6" s="47" t="s">
        <v>138</v>
      </c>
      <c r="C6" s="1">
        <v>900</v>
      </c>
      <c r="D6" s="1">
        <v>940</v>
      </c>
      <c r="E6" s="1">
        <v>970</v>
      </c>
      <c r="F6" s="1">
        <v>1000</v>
      </c>
      <c r="G6" s="1">
        <v>1030</v>
      </c>
      <c r="H6" s="1">
        <v>1050</v>
      </c>
      <c r="I6" s="1">
        <v>1070</v>
      </c>
      <c r="J6" s="1">
        <v>1090</v>
      </c>
      <c r="K6" s="1">
        <v>1110</v>
      </c>
      <c r="L6" s="1">
        <v>1140</v>
      </c>
      <c r="M6" s="1">
        <v>1170</v>
      </c>
      <c r="N6" s="1">
        <v>1200</v>
      </c>
      <c r="O6" s="25">
        <f>SUM(C6:N6)</f>
        <v>12670</v>
      </c>
    </row>
    <row r="10" spans="1:15" x14ac:dyDescent="0.25">
      <c r="A10" s="97" t="s">
        <v>76</v>
      </c>
      <c r="B10" s="98" t="s">
        <v>86</v>
      </c>
      <c r="C10" s="99" t="s">
        <v>1</v>
      </c>
      <c r="D10" s="99" t="s">
        <v>2</v>
      </c>
      <c r="E10" s="99" t="s">
        <v>3</v>
      </c>
      <c r="F10" s="99" t="s">
        <v>4</v>
      </c>
      <c r="G10" s="99" t="s">
        <v>5</v>
      </c>
    </row>
    <row r="11" spans="1:15" x14ac:dyDescent="0.25">
      <c r="A11" s="48">
        <v>1</v>
      </c>
      <c r="B11" s="47" t="str">
        <f>B4</f>
        <v>Platos fuertes</v>
      </c>
      <c r="C11" s="56">
        <f>O4</f>
        <v>12560</v>
      </c>
      <c r="D11" s="56">
        <f>C11+(C11*6%)</f>
        <v>13313.6</v>
      </c>
      <c r="E11" s="56">
        <f>D11+(D11*6%)</f>
        <v>14112.416000000001</v>
      </c>
      <c r="F11" s="56">
        <f>E11+(E11*6%)</f>
        <v>14959.160960000001</v>
      </c>
      <c r="G11" s="56">
        <f>F11+(F11*6%)</f>
        <v>15856.710617600002</v>
      </c>
      <c r="H11" s="15"/>
    </row>
    <row r="12" spans="1:15" x14ac:dyDescent="0.25">
      <c r="A12" s="25">
        <v>2</v>
      </c>
      <c r="B12" s="47" t="s">
        <v>137</v>
      </c>
      <c r="C12" s="25">
        <v>6120</v>
      </c>
      <c r="D12" s="25">
        <f>C12+(C12*6%)</f>
        <v>6487.2</v>
      </c>
      <c r="E12" s="25">
        <f t="shared" ref="E12:G12" si="0">D12+(D12*6%)</f>
        <v>6876.4319999999998</v>
      </c>
      <c r="F12" s="25">
        <f t="shared" si="0"/>
        <v>7289.0179200000002</v>
      </c>
      <c r="G12" s="25">
        <f t="shared" si="0"/>
        <v>7726.3589952000002</v>
      </c>
    </row>
    <row r="13" spans="1:15" x14ac:dyDescent="0.25">
      <c r="A13" s="25">
        <v>3</v>
      </c>
      <c r="B13" s="47" t="s">
        <v>138</v>
      </c>
      <c r="C13" s="25">
        <v>12670</v>
      </c>
      <c r="D13" s="25">
        <f>C13+(C13*6%)</f>
        <v>13430.2</v>
      </c>
      <c r="E13" s="25">
        <f t="shared" ref="E13:G13" si="1">D13+(D13*6%)</f>
        <v>14236.012000000001</v>
      </c>
      <c r="F13" s="25">
        <f t="shared" si="1"/>
        <v>15090.17272</v>
      </c>
      <c r="G13" s="25">
        <f t="shared" si="1"/>
        <v>15995.583083200001</v>
      </c>
    </row>
    <row r="14" spans="1:15" x14ac:dyDescent="0.25">
      <c r="A14" s="115"/>
      <c r="B14" s="47" t="s">
        <v>6</v>
      </c>
      <c r="C14" s="25">
        <f>SUM(C11:C13)</f>
        <v>31350</v>
      </c>
      <c r="D14" s="25">
        <f t="shared" ref="D14:G14" si="2">SUM(D11:D13)</f>
        <v>33231</v>
      </c>
      <c r="E14" s="25">
        <f t="shared" si="2"/>
        <v>35224.86</v>
      </c>
      <c r="F14" s="25">
        <f t="shared" si="2"/>
        <v>37338.351600000002</v>
      </c>
      <c r="G14" s="25">
        <f t="shared" si="2"/>
        <v>39578.652696000005</v>
      </c>
    </row>
    <row r="15" spans="1:15" ht="15.75" thickBot="1" x14ac:dyDescent="0.3"/>
    <row r="16" spans="1:15" x14ac:dyDescent="0.25">
      <c r="A16" s="52" t="s">
        <v>76</v>
      </c>
      <c r="B16" s="51" t="s">
        <v>85</v>
      </c>
      <c r="C16" s="50" t="s">
        <v>65</v>
      </c>
      <c r="D16" s="50" t="s">
        <v>64</v>
      </c>
      <c r="E16" s="50" t="s">
        <v>63</v>
      </c>
      <c r="F16" s="50" t="s">
        <v>62</v>
      </c>
      <c r="G16" s="50" t="s">
        <v>61</v>
      </c>
      <c r="H16" s="50" t="s">
        <v>60</v>
      </c>
      <c r="I16" s="50" t="s">
        <v>59</v>
      </c>
      <c r="J16" s="50" t="s">
        <v>58</v>
      </c>
      <c r="K16" s="50" t="s">
        <v>57</v>
      </c>
      <c r="L16" s="50" t="s">
        <v>56</v>
      </c>
      <c r="M16" s="50" t="s">
        <v>55</v>
      </c>
      <c r="N16" s="50" t="s">
        <v>54</v>
      </c>
      <c r="O16" s="49" t="s">
        <v>6</v>
      </c>
    </row>
    <row r="17" spans="1:15" x14ac:dyDescent="0.25">
      <c r="A17" s="48">
        <v>1</v>
      </c>
      <c r="B17" s="47" t="str">
        <f>B11</f>
        <v>Platos fuertes</v>
      </c>
      <c r="C17" s="46">
        <f>28800*C4</f>
        <v>25920000</v>
      </c>
      <c r="D17" s="46">
        <f t="shared" ref="D17:N17" si="3">28800*D4</f>
        <v>26784000</v>
      </c>
      <c r="E17" s="46">
        <f t="shared" si="3"/>
        <v>27648000</v>
      </c>
      <c r="F17" s="46">
        <f t="shared" si="3"/>
        <v>28512000</v>
      </c>
      <c r="G17" s="46">
        <f t="shared" si="3"/>
        <v>29376000</v>
      </c>
      <c r="H17" s="46">
        <f t="shared" si="3"/>
        <v>29952000</v>
      </c>
      <c r="I17" s="46">
        <f t="shared" si="3"/>
        <v>30528000</v>
      </c>
      <c r="J17" s="46">
        <f t="shared" si="3"/>
        <v>31104000</v>
      </c>
      <c r="K17" s="46">
        <f t="shared" si="3"/>
        <v>31680000</v>
      </c>
      <c r="L17" s="46">
        <f t="shared" si="3"/>
        <v>32544000</v>
      </c>
      <c r="M17" s="46">
        <f t="shared" si="3"/>
        <v>33408000</v>
      </c>
      <c r="N17" s="46">
        <f t="shared" si="3"/>
        <v>34272000</v>
      </c>
      <c r="O17" s="46">
        <f>SUM(C17:N17)</f>
        <v>361728000</v>
      </c>
    </row>
    <row r="18" spans="1:15" x14ac:dyDescent="0.25">
      <c r="A18" s="94">
        <v>2</v>
      </c>
      <c r="B18" s="95" t="s">
        <v>137</v>
      </c>
      <c r="C18" s="96">
        <f>15000*C5</f>
        <v>6000000</v>
      </c>
      <c r="D18" s="96">
        <f t="shared" ref="D18:N18" si="4">15000*D5</f>
        <v>6300000</v>
      </c>
      <c r="E18" s="96">
        <f t="shared" si="4"/>
        <v>6600000</v>
      </c>
      <c r="F18" s="96">
        <f t="shared" si="4"/>
        <v>6900000</v>
      </c>
      <c r="G18" s="96">
        <f t="shared" si="4"/>
        <v>7200000</v>
      </c>
      <c r="H18" s="96">
        <f t="shared" si="4"/>
        <v>7500000</v>
      </c>
      <c r="I18" s="96">
        <f t="shared" si="4"/>
        <v>7800000</v>
      </c>
      <c r="J18" s="96">
        <f t="shared" si="4"/>
        <v>8100000</v>
      </c>
      <c r="K18" s="96">
        <f t="shared" si="4"/>
        <v>8400000</v>
      </c>
      <c r="L18" s="96">
        <f t="shared" si="4"/>
        <v>8700000</v>
      </c>
      <c r="M18" s="96">
        <f t="shared" si="4"/>
        <v>9000000</v>
      </c>
      <c r="N18" s="96">
        <f t="shared" si="4"/>
        <v>9300000</v>
      </c>
      <c r="O18" s="96">
        <f>SUM(C18:N18)</f>
        <v>91800000</v>
      </c>
    </row>
    <row r="19" spans="1:15" x14ac:dyDescent="0.25">
      <c r="A19" s="94">
        <v>3</v>
      </c>
      <c r="B19" s="95" t="s">
        <v>138</v>
      </c>
      <c r="C19" s="96">
        <f>6500*C6</f>
        <v>5850000</v>
      </c>
      <c r="D19" s="96">
        <f t="shared" ref="D19:N19" si="5">6500*D6</f>
        <v>6110000</v>
      </c>
      <c r="E19" s="96">
        <f t="shared" si="5"/>
        <v>6305000</v>
      </c>
      <c r="F19" s="96">
        <f t="shared" si="5"/>
        <v>6500000</v>
      </c>
      <c r="G19" s="96">
        <f t="shared" si="5"/>
        <v>6695000</v>
      </c>
      <c r="H19" s="96">
        <f t="shared" si="5"/>
        <v>6825000</v>
      </c>
      <c r="I19" s="96">
        <f t="shared" si="5"/>
        <v>6955000</v>
      </c>
      <c r="J19" s="96">
        <f t="shared" si="5"/>
        <v>7085000</v>
      </c>
      <c r="K19" s="96">
        <f t="shared" si="5"/>
        <v>7215000</v>
      </c>
      <c r="L19" s="96">
        <f t="shared" si="5"/>
        <v>7410000</v>
      </c>
      <c r="M19" s="96">
        <f t="shared" si="5"/>
        <v>7605000</v>
      </c>
      <c r="N19" s="96">
        <f t="shared" si="5"/>
        <v>7800000</v>
      </c>
      <c r="O19" s="96">
        <f>SUM(C19:N19)</f>
        <v>82355000</v>
      </c>
    </row>
    <row r="20" spans="1:15" ht="15.75" thickBot="1" x14ac:dyDescent="0.3">
      <c r="A20" s="55"/>
      <c r="B20" s="54" t="s">
        <v>83</v>
      </c>
      <c r="C20" s="53">
        <f>SUM(C17:C19)</f>
        <v>37770000</v>
      </c>
      <c r="D20" s="53">
        <f t="shared" ref="D20:M20" si="6">SUM(D17:D19)</f>
        <v>39194000</v>
      </c>
      <c r="E20" s="53">
        <f t="shared" si="6"/>
        <v>40553000</v>
      </c>
      <c r="F20" s="53">
        <f t="shared" si="6"/>
        <v>41912000</v>
      </c>
      <c r="G20" s="53">
        <f t="shared" si="6"/>
        <v>43271000</v>
      </c>
      <c r="H20" s="53">
        <f t="shared" si="6"/>
        <v>44277000</v>
      </c>
      <c r="I20" s="53">
        <f t="shared" si="6"/>
        <v>45283000</v>
      </c>
      <c r="J20" s="53">
        <f t="shared" si="6"/>
        <v>46289000</v>
      </c>
      <c r="K20" s="53">
        <f t="shared" si="6"/>
        <v>47295000</v>
      </c>
      <c r="L20" s="53">
        <f t="shared" si="6"/>
        <v>48654000</v>
      </c>
      <c r="M20" s="53">
        <f t="shared" si="6"/>
        <v>50013000</v>
      </c>
      <c r="N20" s="53">
        <f>SUM(N17:N19)</f>
        <v>51372000</v>
      </c>
      <c r="O20" s="53">
        <f>SUM(O17:O19)</f>
        <v>535883000</v>
      </c>
    </row>
    <row r="23" spans="1:15" ht="15.75" thickBot="1" x14ac:dyDescent="0.3"/>
    <row r="24" spans="1:15" x14ac:dyDescent="0.25">
      <c r="A24" s="52" t="s">
        <v>76</v>
      </c>
      <c r="B24" s="51" t="s">
        <v>84</v>
      </c>
      <c r="C24" s="50" t="s">
        <v>1</v>
      </c>
      <c r="D24" s="50" t="s">
        <v>2</v>
      </c>
      <c r="E24" s="50" t="s">
        <v>3</v>
      </c>
      <c r="F24" s="50" t="s">
        <v>4</v>
      </c>
      <c r="G24" s="49" t="s">
        <v>5</v>
      </c>
    </row>
    <row r="25" spans="1:15" x14ac:dyDescent="0.25">
      <c r="A25" s="48">
        <v>1</v>
      </c>
      <c r="B25" s="47" t="str">
        <f>B17</f>
        <v>Platos fuertes</v>
      </c>
      <c r="C25" s="46">
        <f>28800*C11</f>
        <v>361728000</v>
      </c>
      <c r="D25" s="46">
        <f t="shared" ref="D25:F25" si="7">28800*D11</f>
        <v>383431680</v>
      </c>
      <c r="E25" s="46">
        <f t="shared" si="7"/>
        <v>406437580.80000001</v>
      </c>
      <c r="F25" s="46">
        <f t="shared" si="7"/>
        <v>430823835.648</v>
      </c>
      <c r="G25" s="46">
        <f>28800*G11</f>
        <v>456673265.78688002</v>
      </c>
    </row>
    <row r="26" spans="1:15" x14ac:dyDescent="0.25">
      <c r="A26" s="48">
        <v>2</v>
      </c>
      <c r="B26" s="47" t="s">
        <v>137</v>
      </c>
      <c r="C26" s="46">
        <f>15000*C12</f>
        <v>91800000</v>
      </c>
      <c r="D26" s="46">
        <f t="shared" ref="D26:G26" si="8">15000*D12</f>
        <v>97308000</v>
      </c>
      <c r="E26" s="46">
        <f t="shared" si="8"/>
        <v>103146480</v>
      </c>
      <c r="F26" s="46">
        <f t="shared" si="8"/>
        <v>109335268.8</v>
      </c>
      <c r="G26" s="46">
        <f t="shared" si="8"/>
        <v>115895384.928</v>
      </c>
    </row>
    <row r="27" spans="1:15" x14ac:dyDescent="0.25">
      <c r="A27" s="48">
        <v>3</v>
      </c>
      <c r="B27" s="47" t="s">
        <v>138</v>
      </c>
      <c r="C27" s="46">
        <f>6500*C13</f>
        <v>82355000</v>
      </c>
      <c r="D27" s="46">
        <f t="shared" ref="D27:G27" si="9">6500*D13</f>
        <v>87296300</v>
      </c>
      <c r="E27" s="46">
        <f t="shared" si="9"/>
        <v>92534078</v>
      </c>
      <c r="F27" s="46">
        <f t="shared" si="9"/>
        <v>98086122.680000007</v>
      </c>
      <c r="G27" s="46">
        <f t="shared" si="9"/>
        <v>103971290.04080001</v>
      </c>
    </row>
    <row r="28" spans="1:15" x14ac:dyDescent="0.25">
      <c r="A28" s="47"/>
      <c r="B28" s="45" t="s">
        <v>83</v>
      </c>
      <c r="C28" s="44">
        <f>SUM(C25:C27)</f>
        <v>535883000</v>
      </c>
      <c r="D28" s="44">
        <f t="shared" ref="D28:G28" si="10">SUM(D25:D27)</f>
        <v>568035980</v>
      </c>
      <c r="E28" s="44">
        <f t="shared" si="10"/>
        <v>602118138.79999995</v>
      </c>
      <c r="F28" s="44">
        <f t="shared" si="10"/>
        <v>638245227.12800002</v>
      </c>
      <c r="G28" s="44">
        <f t="shared" si="10"/>
        <v>676539940.75567997</v>
      </c>
    </row>
    <row r="31" spans="1:15" ht="15.75" thickBot="1" x14ac:dyDescent="0.3"/>
    <row r="32" spans="1:15" x14ac:dyDescent="0.25">
      <c r="A32" s="52" t="s">
        <v>76</v>
      </c>
      <c r="B32" s="51" t="s">
        <v>82</v>
      </c>
      <c r="C32" s="50" t="s">
        <v>1</v>
      </c>
      <c r="D32" s="50" t="s">
        <v>2</v>
      </c>
      <c r="E32" s="50" t="s">
        <v>3</v>
      </c>
      <c r="F32" s="50" t="s">
        <v>4</v>
      </c>
      <c r="G32" s="49" t="s">
        <v>5</v>
      </c>
    </row>
    <row r="33" spans="1:7" x14ac:dyDescent="0.25">
      <c r="A33" s="48">
        <v>1</v>
      </c>
      <c r="B33" s="105" t="str">
        <f>B25</f>
        <v>Platos fuertes</v>
      </c>
      <c r="C33" s="106">
        <f t="shared" ref="C33:G35" si="11">C25*40%</f>
        <v>144691200</v>
      </c>
      <c r="D33" s="106">
        <f t="shared" si="11"/>
        <v>153372672</v>
      </c>
      <c r="E33" s="106">
        <f t="shared" si="11"/>
        <v>162575032.32000002</v>
      </c>
      <c r="F33" s="106">
        <f t="shared" si="11"/>
        <v>172329534.25920001</v>
      </c>
      <c r="G33" s="106">
        <f t="shared" si="11"/>
        <v>182669306.31475201</v>
      </c>
    </row>
    <row r="34" spans="1:7" x14ac:dyDescent="0.25">
      <c r="A34" s="48">
        <v>2</v>
      </c>
      <c r="B34" s="105" t="s">
        <v>137</v>
      </c>
      <c r="C34" s="106">
        <f t="shared" si="11"/>
        <v>36720000</v>
      </c>
      <c r="D34" s="106">
        <f t="shared" si="11"/>
        <v>38923200</v>
      </c>
      <c r="E34" s="106">
        <f t="shared" si="11"/>
        <v>41258592</v>
      </c>
      <c r="F34" s="106">
        <f t="shared" si="11"/>
        <v>43734107.520000003</v>
      </c>
      <c r="G34" s="106">
        <f t="shared" si="11"/>
        <v>46358153.971200004</v>
      </c>
    </row>
    <row r="35" spans="1:7" x14ac:dyDescent="0.25">
      <c r="A35" s="48">
        <v>3</v>
      </c>
      <c r="B35" s="105" t="s">
        <v>138</v>
      </c>
      <c r="C35" s="106">
        <f t="shared" si="11"/>
        <v>32942000</v>
      </c>
      <c r="D35" s="106">
        <f t="shared" si="11"/>
        <v>34918520</v>
      </c>
      <c r="E35" s="106">
        <f t="shared" si="11"/>
        <v>37013631.200000003</v>
      </c>
      <c r="F35" s="106">
        <f t="shared" si="11"/>
        <v>39234449.072000004</v>
      </c>
      <c r="G35" s="106">
        <f t="shared" si="11"/>
        <v>41588516.016320005</v>
      </c>
    </row>
    <row r="36" spans="1:7" x14ac:dyDescent="0.25">
      <c r="A36" s="45"/>
      <c r="B36" s="45" t="s">
        <v>81</v>
      </c>
      <c r="C36" s="44">
        <f>SUM(C33:C35)</f>
        <v>214353200</v>
      </c>
      <c r="D36" s="44">
        <f t="shared" ref="D36:G36" si="12">SUM(D33:D35)</f>
        <v>227214392</v>
      </c>
      <c r="E36" s="44">
        <f t="shared" si="12"/>
        <v>240847255.52000004</v>
      </c>
      <c r="F36" s="44">
        <f t="shared" si="12"/>
        <v>255298090.85120001</v>
      </c>
      <c r="G36" s="44">
        <f t="shared" si="12"/>
        <v>270615976.30227202</v>
      </c>
    </row>
  </sheetData>
  <mergeCells count="1">
    <mergeCell ref="A2:O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39"/>
  <sheetViews>
    <sheetView topLeftCell="B1" workbookViewId="0">
      <selection activeCell="C15" sqref="C15"/>
    </sheetView>
  </sheetViews>
  <sheetFormatPr baseColWidth="10" defaultRowHeight="15" x14ac:dyDescent="0.25"/>
  <cols>
    <col min="1" max="1" width="11.42578125" style="26"/>
    <col min="2" max="2" width="30.28515625" style="26" bestFit="1" customWidth="1"/>
    <col min="3" max="3" width="14.28515625" style="26" customWidth="1"/>
    <col min="4" max="4" width="13.85546875" style="26" customWidth="1"/>
    <col min="5" max="5" width="14.42578125" style="26" customWidth="1"/>
    <col min="6" max="6" width="14.5703125" style="26" customWidth="1"/>
    <col min="7" max="7" width="15.42578125" style="26" customWidth="1"/>
    <col min="8" max="8" width="11.5703125" style="26" customWidth="1"/>
    <col min="9" max="9" width="11.7109375" style="26" customWidth="1"/>
    <col min="10" max="10" width="11.85546875" style="26" customWidth="1"/>
    <col min="11" max="11" width="13.140625" style="26" bestFit="1" customWidth="1"/>
    <col min="12" max="14" width="11.5703125" style="26" bestFit="1" customWidth="1"/>
    <col min="15" max="15" width="16.7109375" style="26" customWidth="1"/>
    <col min="16" max="16384" width="11.42578125" style="26"/>
  </cols>
  <sheetData>
    <row r="3" spans="2:15" x14ac:dyDescent="0.25">
      <c r="G3" s="27"/>
    </row>
    <row r="5" spans="2:15" x14ac:dyDescent="0.25">
      <c r="B5" s="125" t="s">
        <v>145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7"/>
    </row>
    <row r="6" spans="2:15" x14ac:dyDescent="0.25">
      <c r="B6" s="31" t="s">
        <v>69</v>
      </c>
      <c r="C6" s="32" t="s">
        <v>65</v>
      </c>
      <c r="D6" s="32" t="s">
        <v>64</v>
      </c>
      <c r="E6" s="32" t="s">
        <v>63</v>
      </c>
      <c r="F6" s="32" t="s">
        <v>62</v>
      </c>
      <c r="G6" s="32" t="s">
        <v>61</v>
      </c>
      <c r="H6" s="32" t="s">
        <v>60</v>
      </c>
      <c r="I6" s="32" t="s">
        <v>59</v>
      </c>
      <c r="J6" s="32" t="s">
        <v>58</v>
      </c>
      <c r="K6" s="32" t="s">
        <v>57</v>
      </c>
      <c r="L6" s="32" t="s">
        <v>56</v>
      </c>
      <c r="M6" s="32" t="s">
        <v>55</v>
      </c>
      <c r="N6" s="32" t="s">
        <v>54</v>
      </c>
      <c r="O6" s="32" t="s">
        <v>6</v>
      </c>
    </row>
    <row r="7" spans="2:15" x14ac:dyDescent="0.25">
      <c r="B7" s="29" t="s">
        <v>68</v>
      </c>
      <c r="C7" s="29">
        <f>7000*900</f>
        <v>6300000</v>
      </c>
      <c r="D7" s="29">
        <f>7000*930</f>
        <v>6510000</v>
      </c>
      <c r="E7" s="29">
        <f>7000*960</f>
        <v>6720000</v>
      </c>
      <c r="F7" s="29">
        <f>7000*990</f>
        <v>6930000</v>
      </c>
      <c r="G7" s="29">
        <f>7000*1020</f>
        <v>7140000</v>
      </c>
      <c r="H7" s="29">
        <f>7000*1050</f>
        <v>7350000</v>
      </c>
      <c r="I7" s="29">
        <f>7000*1080</f>
        <v>7560000</v>
      </c>
      <c r="J7" s="29">
        <f>7000*1100</f>
        <v>7700000</v>
      </c>
      <c r="K7" s="29">
        <f>7000*1130</f>
        <v>7910000</v>
      </c>
      <c r="L7" s="29">
        <f>7000*1160</f>
        <v>8120000</v>
      </c>
      <c r="M7" s="29">
        <f>7000*1190</f>
        <v>8330000</v>
      </c>
      <c r="N7" s="29">
        <f>7000*1210</f>
        <v>8470000</v>
      </c>
      <c r="O7" s="29">
        <f>SUM(C7:N7)</f>
        <v>89040000</v>
      </c>
    </row>
    <row r="8" spans="2:15" x14ac:dyDescent="0.25">
      <c r="B8" s="29" t="s">
        <v>70</v>
      </c>
      <c r="C8" s="29">
        <f>4000*900</f>
        <v>3600000</v>
      </c>
      <c r="D8" s="29">
        <f>4000*930</f>
        <v>3720000</v>
      </c>
      <c r="E8" s="29">
        <f>4000*960</f>
        <v>3840000</v>
      </c>
      <c r="F8" s="29">
        <f>4000*990</f>
        <v>3960000</v>
      </c>
      <c r="G8" s="29">
        <f>4000*1020</f>
        <v>4080000</v>
      </c>
      <c r="H8" s="29">
        <f>4000*1050</f>
        <v>4200000</v>
      </c>
      <c r="I8" s="29">
        <f>4000*1080</f>
        <v>4320000</v>
      </c>
      <c r="J8" s="29">
        <f>4000*1100</f>
        <v>4400000</v>
      </c>
      <c r="K8" s="29">
        <f>4000*1130</f>
        <v>4520000</v>
      </c>
      <c r="L8" s="29">
        <f>4000*1160</f>
        <v>4640000</v>
      </c>
      <c r="M8" s="29">
        <f>4000*1190</f>
        <v>4760000</v>
      </c>
      <c r="N8" s="29">
        <f>4000*1210</f>
        <v>4840000</v>
      </c>
      <c r="O8" s="29">
        <f>SUM(C8:N8)</f>
        <v>50880000</v>
      </c>
    </row>
    <row r="9" spans="2:15" x14ac:dyDescent="0.25">
      <c r="B9" s="29" t="s">
        <v>67</v>
      </c>
      <c r="C9" s="29">
        <f>[2]INVERSIONES!K$8</f>
        <v>125000</v>
      </c>
      <c r="D9" s="29">
        <f>[2]INVERSIONES!$K8</f>
        <v>125000</v>
      </c>
      <c r="E9" s="29">
        <f>[2]INVERSIONES!$K8</f>
        <v>125000</v>
      </c>
      <c r="F9" s="29">
        <f>[2]INVERSIONES!$K8</f>
        <v>125000</v>
      </c>
      <c r="G9" s="29">
        <f>[2]INVERSIONES!$K8</f>
        <v>125000</v>
      </c>
      <c r="H9" s="29">
        <f>[2]INVERSIONES!$K8</f>
        <v>125000</v>
      </c>
      <c r="I9" s="29">
        <f>[2]INVERSIONES!$K8</f>
        <v>125000</v>
      </c>
      <c r="J9" s="29">
        <f>[2]INVERSIONES!$K8</f>
        <v>125000</v>
      </c>
      <c r="K9" s="29">
        <f>[2]INVERSIONES!$K8</f>
        <v>125000</v>
      </c>
      <c r="L9" s="29">
        <f>[2]INVERSIONES!$K8</f>
        <v>125000</v>
      </c>
      <c r="M9" s="29">
        <f>[2]INVERSIONES!$K8</f>
        <v>125000</v>
      </c>
      <c r="N9" s="29">
        <f>[2]INVERSIONES!$K8</f>
        <v>125000</v>
      </c>
      <c r="O9" s="29">
        <f>SUM(C9:N9)</f>
        <v>1500000</v>
      </c>
    </row>
    <row r="10" spans="2:15" s="27" customFormat="1" x14ac:dyDescent="0.25">
      <c r="B10" s="28" t="s">
        <v>66</v>
      </c>
      <c r="C10" s="28">
        <f t="shared" ref="C10:O10" si="0">C7+C8+C9</f>
        <v>10025000</v>
      </c>
      <c r="D10" s="28">
        <f t="shared" si="0"/>
        <v>10355000</v>
      </c>
      <c r="E10" s="28">
        <f t="shared" si="0"/>
        <v>10685000</v>
      </c>
      <c r="F10" s="28">
        <f t="shared" si="0"/>
        <v>11015000</v>
      </c>
      <c r="G10" s="28">
        <f t="shared" si="0"/>
        <v>11345000</v>
      </c>
      <c r="H10" s="28">
        <f t="shared" si="0"/>
        <v>11675000</v>
      </c>
      <c r="I10" s="28">
        <f t="shared" si="0"/>
        <v>12005000</v>
      </c>
      <c r="J10" s="28">
        <f t="shared" si="0"/>
        <v>12225000</v>
      </c>
      <c r="K10" s="28">
        <f t="shared" si="0"/>
        <v>12555000</v>
      </c>
      <c r="L10" s="28">
        <f t="shared" si="0"/>
        <v>12885000</v>
      </c>
      <c r="M10" s="28">
        <f t="shared" si="0"/>
        <v>13215000</v>
      </c>
      <c r="N10" s="28">
        <f t="shared" si="0"/>
        <v>13435000</v>
      </c>
      <c r="O10" s="28">
        <f t="shared" si="0"/>
        <v>141420000</v>
      </c>
    </row>
    <row r="13" spans="2:15" x14ac:dyDescent="0.25">
      <c r="B13" s="31" t="s">
        <v>69</v>
      </c>
      <c r="C13" s="30" t="s">
        <v>1</v>
      </c>
      <c r="D13" s="30" t="s">
        <v>2</v>
      </c>
      <c r="E13" s="30" t="s">
        <v>3</v>
      </c>
      <c r="F13" s="30" t="s">
        <v>4</v>
      </c>
      <c r="G13" s="30" t="s">
        <v>5</v>
      </c>
    </row>
    <row r="14" spans="2:15" x14ac:dyDescent="0.25">
      <c r="B14" s="29" t="s">
        <v>68</v>
      </c>
      <c r="C14" s="29">
        <f>O7</f>
        <v>89040000</v>
      </c>
      <c r="D14" s="29">
        <f>INGRESOS!D33</f>
        <v>153372672</v>
      </c>
      <c r="E14" s="29">
        <f>INGRESOS!E33</f>
        <v>162575032.32000002</v>
      </c>
      <c r="F14" s="29">
        <f>INGRESOS!F33</f>
        <v>172329534.25920001</v>
      </c>
      <c r="G14" s="29">
        <f>INGRESOS!G33</f>
        <v>182669306.31475201</v>
      </c>
    </row>
    <row r="15" spans="2:15" x14ac:dyDescent="0.25">
      <c r="B15" s="29" t="s">
        <v>70</v>
      </c>
      <c r="C15" s="29">
        <f>O8</f>
        <v>50880000</v>
      </c>
      <c r="D15" s="29">
        <f>C15*105%</f>
        <v>53424000</v>
      </c>
      <c r="E15" s="29">
        <f t="shared" ref="E15:G15" si="1">D15*105%</f>
        <v>56095200</v>
      </c>
      <c r="F15" s="29">
        <f t="shared" si="1"/>
        <v>58899960</v>
      </c>
      <c r="G15" s="29">
        <f t="shared" si="1"/>
        <v>61844958</v>
      </c>
    </row>
    <row r="16" spans="2:15" x14ac:dyDescent="0.25">
      <c r="B16" s="29" t="s">
        <v>67</v>
      </c>
      <c r="C16" s="29">
        <f>O9</f>
        <v>1500000</v>
      </c>
      <c r="D16" s="29">
        <f>C16</f>
        <v>1500000</v>
      </c>
      <c r="E16" s="29">
        <f>D16</f>
        <v>1500000</v>
      </c>
      <c r="F16" s="29">
        <f>E16</f>
        <v>1500000</v>
      </c>
      <c r="G16" s="29">
        <f>F16</f>
        <v>1500000</v>
      </c>
    </row>
    <row r="17" spans="2:15" s="27" customFormat="1" x14ac:dyDescent="0.25">
      <c r="B17" s="28" t="s">
        <v>66</v>
      </c>
      <c r="C17" s="28">
        <f>C14+C15+C16</f>
        <v>141420000</v>
      </c>
      <c r="D17" s="28">
        <f>D14+D15+D16</f>
        <v>208296672</v>
      </c>
      <c r="E17" s="28">
        <f>E14+E15+E16</f>
        <v>220170232.32000002</v>
      </c>
      <c r="F17" s="28">
        <f>F14+F15+F16</f>
        <v>232729494.25920001</v>
      </c>
      <c r="G17" s="28">
        <f>G14+G15+G16</f>
        <v>246014264.31475201</v>
      </c>
    </row>
    <row r="21" spans="2:15" x14ac:dyDescent="0.25">
      <c r="B21" s="31" t="s">
        <v>53</v>
      </c>
      <c r="C21" s="30" t="s">
        <v>65</v>
      </c>
      <c r="D21" s="30" t="s">
        <v>64</v>
      </c>
      <c r="E21" s="30" t="s">
        <v>63</v>
      </c>
      <c r="F21" s="30" t="s">
        <v>62</v>
      </c>
      <c r="G21" s="30" t="s">
        <v>61</v>
      </c>
      <c r="H21" s="30" t="s">
        <v>60</v>
      </c>
      <c r="I21" s="30" t="s">
        <v>59</v>
      </c>
      <c r="J21" s="30" t="s">
        <v>58</v>
      </c>
      <c r="K21" s="30" t="s">
        <v>57</v>
      </c>
      <c r="L21" s="30" t="s">
        <v>56</v>
      </c>
      <c r="M21" s="30" t="s">
        <v>55</v>
      </c>
      <c r="N21" s="30" t="s">
        <v>54</v>
      </c>
      <c r="O21" s="30" t="s">
        <v>6</v>
      </c>
    </row>
    <row r="22" spans="2:15" x14ac:dyDescent="0.25">
      <c r="B22" s="29" t="s">
        <v>52</v>
      </c>
      <c r="C22" s="29">
        <v>4200000</v>
      </c>
      <c r="D22" s="29">
        <v>4200000</v>
      </c>
      <c r="E22" s="29">
        <v>4200000</v>
      </c>
      <c r="F22" s="29">
        <v>4200000</v>
      </c>
      <c r="G22" s="29">
        <v>4200000</v>
      </c>
      <c r="H22" s="29">
        <v>4200000</v>
      </c>
      <c r="I22" s="29">
        <v>4200000</v>
      </c>
      <c r="J22" s="29">
        <v>4200000</v>
      </c>
      <c r="K22" s="29">
        <v>4200000</v>
      </c>
      <c r="L22" s="29">
        <v>4200000</v>
      </c>
      <c r="M22" s="29">
        <v>4200000</v>
      </c>
      <c r="N22" s="29">
        <v>4200000</v>
      </c>
      <c r="O22" s="29">
        <f t="shared" ref="O22:O28" si="2">SUM(C22:N22)</f>
        <v>50400000</v>
      </c>
    </row>
    <row r="23" spans="2:15" x14ac:dyDescent="0.25">
      <c r="B23" s="29" t="s">
        <v>51</v>
      </c>
      <c r="C23" s="29">
        <v>8351126</v>
      </c>
      <c r="D23" s="29">
        <v>8351126</v>
      </c>
      <c r="E23" s="29">
        <v>8351126</v>
      </c>
      <c r="F23" s="29">
        <v>8351126</v>
      </c>
      <c r="G23" s="29">
        <v>8351126</v>
      </c>
      <c r="H23" s="29">
        <v>8351126</v>
      </c>
      <c r="I23" s="29">
        <v>8351126</v>
      </c>
      <c r="J23" s="29">
        <v>8351126</v>
      </c>
      <c r="K23" s="29">
        <v>8351126</v>
      </c>
      <c r="L23" s="29">
        <v>8351126</v>
      </c>
      <c r="M23" s="29">
        <v>8351126</v>
      </c>
      <c r="N23" s="29">
        <v>8351126</v>
      </c>
      <c r="O23" s="29">
        <f t="shared" si="2"/>
        <v>100213512</v>
      </c>
    </row>
    <row r="24" spans="2:15" x14ac:dyDescent="0.25">
      <c r="B24" s="29" t="s">
        <v>50</v>
      </c>
      <c r="C24" s="29">
        <v>100000</v>
      </c>
      <c r="D24" s="29">
        <v>100000</v>
      </c>
      <c r="E24" s="29">
        <v>100000</v>
      </c>
      <c r="F24" s="29">
        <v>100000</v>
      </c>
      <c r="G24" s="29">
        <v>100000</v>
      </c>
      <c r="H24" s="29">
        <v>100000</v>
      </c>
      <c r="I24" s="29">
        <v>100000</v>
      </c>
      <c r="J24" s="29">
        <v>100000</v>
      </c>
      <c r="K24" s="29">
        <v>100000</v>
      </c>
      <c r="L24" s="29">
        <v>100000</v>
      </c>
      <c r="M24" s="29">
        <v>100000</v>
      </c>
      <c r="N24" s="29">
        <v>100000</v>
      </c>
      <c r="O24" s="29">
        <f t="shared" si="2"/>
        <v>1200000</v>
      </c>
    </row>
    <row r="25" spans="2:15" x14ac:dyDescent="0.25">
      <c r="B25" s="29" t="s">
        <v>49</v>
      </c>
      <c r="C25" s="29">
        <v>150000</v>
      </c>
      <c r="D25" s="29">
        <v>150000</v>
      </c>
      <c r="E25" s="29">
        <v>150000</v>
      </c>
      <c r="F25" s="29">
        <v>150000</v>
      </c>
      <c r="G25" s="29">
        <v>150000</v>
      </c>
      <c r="H25" s="29">
        <v>150000</v>
      </c>
      <c r="I25" s="29">
        <v>150000</v>
      </c>
      <c r="J25" s="29">
        <v>150000</v>
      </c>
      <c r="K25" s="29">
        <v>150000</v>
      </c>
      <c r="L25" s="29">
        <v>150000</v>
      </c>
      <c r="M25" s="29">
        <v>150000</v>
      </c>
      <c r="N25" s="29">
        <v>150000</v>
      </c>
      <c r="O25" s="29">
        <f t="shared" si="2"/>
        <v>1800000</v>
      </c>
    </row>
    <row r="26" spans="2:15" x14ac:dyDescent="0.25">
      <c r="B26" s="29" t="s">
        <v>48</v>
      </c>
      <c r="C26" s="29">
        <f>INGRESOS!C17*0.008</f>
        <v>207360</v>
      </c>
      <c r="D26" s="29">
        <f>INGRESOS!D17*0.008</f>
        <v>214272</v>
      </c>
      <c r="E26" s="29">
        <f>INGRESOS!E17*0.008</f>
        <v>221184</v>
      </c>
      <c r="F26" s="29">
        <f>INGRESOS!F17*0.008</f>
        <v>228096</v>
      </c>
      <c r="G26" s="29">
        <f>INGRESOS!G17*0.008</f>
        <v>235008</v>
      </c>
      <c r="H26" s="29">
        <f>INGRESOS!H17*0.008</f>
        <v>239616</v>
      </c>
      <c r="I26" s="29">
        <f>INGRESOS!I17*0.008</f>
        <v>244224</v>
      </c>
      <c r="J26" s="29">
        <f>INGRESOS!J17*0.008</f>
        <v>248832</v>
      </c>
      <c r="K26" s="29">
        <f>INGRESOS!K17*0.008</f>
        <v>253440</v>
      </c>
      <c r="L26" s="29">
        <f>INGRESOS!L17*0.008</f>
        <v>260352</v>
      </c>
      <c r="M26" s="29">
        <f>INGRESOS!M17*0.008</f>
        <v>267264</v>
      </c>
      <c r="N26" s="29">
        <f>INGRESOS!N17*0.008</f>
        <v>274176</v>
      </c>
      <c r="O26" s="29">
        <f t="shared" si="2"/>
        <v>2893824</v>
      </c>
    </row>
    <row r="27" spans="2:15" x14ac:dyDescent="0.25">
      <c r="B27" s="29" t="s">
        <v>47</v>
      </c>
      <c r="C27" s="29">
        <v>50000</v>
      </c>
      <c r="D27" s="29">
        <v>50000</v>
      </c>
      <c r="E27" s="29">
        <v>50000</v>
      </c>
      <c r="F27" s="29">
        <v>50000</v>
      </c>
      <c r="G27" s="29">
        <v>50000</v>
      </c>
      <c r="H27" s="29">
        <v>50000</v>
      </c>
      <c r="I27" s="29">
        <v>50000</v>
      </c>
      <c r="J27" s="29">
        <v>50000</v>
      </c>
      <c r="K27" s="29">
        <v>50000</v>
      </c>
      <c r="L27" s="29">
        <v>50000</v>
      </c>
      <c r="M27" s="29">
        <v>50000</v>
      </c>
      <c r="N27" s="29">
        <v>50000</v>
      </c>
      <c r="O27" s="29">
        <f t="shared" si="2"/>
        <v>600000</v>
      </c>
    </row>
    <row r="28" spans="2:15" s="27" customFormat="1" x14ac:dyDescent="0.25">
      <c r="B28" s="28" t="s">
        <v>46</v>
      </c>
      <c r="C28" s="28">
        <f t="shared" ref="C28:N28" si="3">SUM(C22:C27)</f>
        <v>13058486</v>
      </c>
      <c r="D28" s="28">
        <f t="shared" si="3"/>
        <v>13065398</v>
      </c>
      <c r="E28" s="28">
        <f t="shared" si="3"/>
        <v>13072310</v>
      </c>
      <c r="F28" s="28">
        <f t="shared" si="3"/>
        <v>13079222</v>
      </c>
      <c r="G28" s="28">
        <f t="shared" si="3"/>
        <v>13086134</v>
      </c>
      <c r="H28" s="28">
        <f t="shared" si="3"/>
        <v>13090742</v>
      </c>
      <c r="I28" s="28">
        <f t="shared" si="3"/>
        <v>13095350</v>
      </c>
      <c r="J28" s="28">
        <f t="shared" si="3"/>
        <v>13099958</v>
      </c>
      <c r="K28" s="28">
        <f t="shared" si="3"/>
        <v>13104566</v>
      </c>
      <c r="L28" s="28">
        <f t="shared" si="3"/>
        <v>13111478</v>
      </c>
      <c r="M28" s="28">
        <f t="shared" si="3"/>
        <v>13118390</v>
      </c>
      <c r="N28" s="28">
        <f t="shared" si="3"/>
        <v>13125302</v>
      </c>
      <c r="O28" s="28">
        <f t="shared" si="2"/>
        <v>157107336</v>
      </c>
    </row>
    <row r="32" spans="2:15" x14ac:dyDescent="0.25">
      <c r="B32" s="31" t="s">
        <v>53</v>
      </c>
      <c r="C32" s="30" t="s">
        <v>1</v>
      </c>
      <c r="D32" s="30" t="s">
        <v>2</v>
      </c>
      <c r="E32" s="30" t="s">
        <v>3</v>
      </c>
      <c r="F32" s="30" t="s">
        <v>4</v>
      </c>
      <c r="G32" s="30" t="s">
        <v>5</v>
      </c>
    </row>
    <row r="33" spans="2:7" x14ac:dyDescent="0.25">
      <c r="B33" s="29" t="s">
        <v>52</v>
      </c>
      <c r="C33" s="29">
        <f t="shared" ref="C33:C38" si="4">O22</f>
        <v>50400000</v>
      </c>
      <c r="D33" s="29">
        <f t="shared" ref="D33:G39" si="5">C33+C33*7%</f>
        <v>53928000</v>
      </c>
      <c r="E33" s="29">
        <f t="shared" si="5"/>
        <v>57702960</v>
      </c>
      <c r="F33" s="29">
        <f t="shared" si="5"/>
        <v>61742167.200000003</v>
      </c>
      <c r="G33" s="29">
        <f t="shared" si="5"/>
        <v>66064118.904000007</v>
      </c>
    </row>
    <row r="34" spans="2:7" x14ac:dyDescent="0.25">
      <c r="B34" s="29" t="s">
        <v>51</v>
      </c>
      <c r="C34" s="29">
        <f t="shared" si="4"/>
        <v>100213512</v>
      </c>
      <c r="D34" s="29">
        <f t="shared" si="5"/>
        <v>107228457.84</v>
      </c>
      <c r="E34" s="29">
        <f t="shared" si="5"/>
        <v>114734449.88880001</v>
      </c>
      <c r="F34" s="29">
        <f t="shared" si="5"/>
        <v>122765861.38101602</v>
      </c>
      <c r="G34" s="29">
        <f t="shared" si="5"/>
        <v>131359471.67768714</v>
      </c>
    </row>
    <row r="35" spans="2:7" x14ac:dyDescent="0.25">
      <c r="B35" s="29" t="s">
        <v>50</v>
      </c>
      <c r="C35" s="29">
        <f t="shared" si="4"/>
        <v>1200000</v>
      </c>
      <c r="D35" s="29">
        <f t="shared" si="5"/>
        <v>1284000</v>
      </c>
      <c r="E35" s="29">
        <f t="shared" si="5"/>
        <v>1373880</v>
      </c>
      <c r="F35" s="29">
        <f t="shared" si="5"/>
        <v>1470051.6</v>
      </c>
      <c r="G35" s="29">
        <f t="shared" si="5"/>
        <v>1572955.2120000001</v>
      </c>
    </row>
    <row r="36" spans="2:7" x14ac:dyDescent="0.25">
      <c r="B36" s="29" t="s">
        <v>49</v>
      </c>
      <c r="C36" s="29">
        <f t="shared" si="4"/>
        <v>1800000</v>
      </c>
      <c r="D36" s="29">
        <f t="shared" si="5"/>
        <v>1926000</v>
      </c>
      <c r="E36" s="29">
        <f t="shared" si="5"/>
        <v>2060820</v>
      </c>
      <c r="F36" s="29">
        <f t="shared" si="5"/>
        <v>2205077.4</v>
      </c>
      <c r="G36" s="29">
        <f t="shared" si="5"/>
        <v>2359432.818</v>
      </c>
    </row>
    <row r="37" spans="2:7" x14ac:dyDescent="0.25">
      <c r="B37" s="29" t="s">
        <v>48</v>
      </c>
      <c r="C37" s="29">
        <f t="shared" si="4"/>
        <v>2893824</v>
      </c>
      <c r="D37" s="29">
        <f t="shared" si="5"/>
        <v>3096391.6800000002</v>
      </c>
      <c r="E37" s="29">
        <f t="shared" si="5"/>
        <v>3313139.0976</v>
      </c>
      <c r="F37" s="29">
        <f t="shared" si="5"/>
        <v>3545058.8344319998</v>
      </c>
      <c r="G37" s="29">
        <f t="shared" si="5"/>
        <v>3793212.9528422398</v>
      </c>
    </row>
    <row r="38" spans="2:7" x14ac:dyDescent="0.25">
      <c r="B38" s="29" t="s">
        <v>47</v>
      </c>
      <c r="C38" s="29">
        <f t="shared" si="4"/>
        <v>600000</v>
      </c>
      <c r="D38" s="29">
        <f t="shared" si="5"/>
        <v>642000</v>
      </c>
      <c r="E38" s="29">
        <f t="shared" si="5"/>
        <v>686940</v>
      </c>
      <c r="F38" s="29">
        <f t="shared" si="5"/>
        <v>735025.8</v>
      </c>
      <c r="G38" s="29">
        <f t="shared" si="5"/>
        <v>786477.60600000003</v>
      </c>
    </row>
    <row r="39" spans="2:7" s="27" customFormat="1" x14ac:dyDescent="0.25">
      <c r="B39" s="28" t="s">
        <v>46</v>
      </c>
      <c r="C39" s="28">
        <f>SUM(C33:C38)</f>
        <v>157107336</v>
      </c>
      <c r="D39" s="28">
        <f t="shared" si="5"/>
        <v>168104849.52000001</v>
      </c>
      <c r="E39" s="28">
        <f t="shared" si="5"/>
        <v>179872188.98640001</v>
      </c>
      <c r="F39" s="28">
        <f t="shared" si="5"/>
        <v>192463242.21544802</v>
      </c>
      <c r="G39" s="28">
        <f t="shared" si="5"/>
        <v>205935669.1705294</v>
      </c>
    </row>
  </sheetData>
  <mergeCells count="1">
    <mergeCell ref="B5:O5"/>
  </mergeCells>
  <pageMargins left="0.7" right="0.7" top="0.75" bottom="0.75" header="0.3" footer="0.3"/>
  <pageSetup paperSize="0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3"/>
  <sheetViews>
    <sheetView topLeftCell="B1" workbookViewId="0">
      <selection activeCell="C8" sqref="C8"/>
    </sheetView>
  </sheetViews>
  <sheetFormatPr baseColWidth="10" defaultRowHeight="15" x14ac:dyDescent="0.25"/>
  <cols>
    <col min="1" max="1" width="11.42578125" style="57"/>
    <col min="2" max="2" width="28" style="57" bestFit="1" customWidth="1"/>
    <col min="3" max="14" width="13.140625" style="57" bestFit="1" customWidth="1"/>
    <col min="15" max="15" width="14.140625" style="57" bestFit="1" customWidth="1"/>
    <col min="16" max="16384" width="11.42578125" style="57"/>
  </cols>
  <sheetData>
    <row r="2" spans="2:16" x14ac:dyDescent="0.25">
      <c r="H2" s="58"/>
    </row>
    <row r="4" spans="2:16" x14ac:dyDescent="0.25">
      <c r="B4" s="128" t="s">
        <v>142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</row>
    <row r="5" spans="2:16" x14ac:dyDescent="0.25">
      <c r="B5" s="68" t="s">
        <v>106</v>
      </c>
      <c r="C5" s="67" t="s">
        <v>65</v>
      </c>
      <c r="D5" s="67" t="s">
        <v>64</v>
      </c>
      <c r="E5" s="67" t="s">
        <v>63</v>
      </c>
      <c r="F5" s="67" t="s">
        <v>62</v>
      </c>
      <c r="G5" s="67" t="s">
        <v>61</v>
      </c>
      <c r="H5" s="67" t="s">
        <v>60</v>
      </c>
      <c r="I5" s="67" t="s">
        <v>59</v>
      </c>
      <c r="J5" s="67" t="s">
        <v>58</v>
      </c>
      <c r="K5" s="67" t="s">
        <v>57</v>
      </c>
      <c r="L5" s="67" t="s">
        <v>56</v>
      </c>
      <c r="M5" s="67" t="s">
        <v>55</v>
      </c>
      <c r="N5" s="67" t="s">
        <v>54</v>
      </c>
      <c r="O5" s="67" t="s">
        <v>6</v>
      </c>
      <c r="P5" s="66" t="s">
        <v>105</v>
      </c>
    </row>
    <row r="6" spans="2:16" x14ac:dyDescent="0.25">
      <c r="B6" s="64" t="s">
        <v>104</v>
      </c>
      <c r="C6" s="64">
        <f>[2]COBRANZAS!D12</f>
        <v>37770000</v>
      </c>
      <c r="D6" s="64">
        <f>[2]COBRANZAS!E12</f>
        <v>39194000</v>
      </c>
      <c r="E6" s="64">
        <f>[2]COBRANZAS!F12</f>
        <v>40553000</v>
      </c>
      <c r="F6" s="64">
        <f>[2]COBRANZAS!G12</f>
        <v>41912000</v>
      </c>
      <c r="G6" s="64">
        <f>[2]COBRANZAS!H12</f>
        <v>43271000</v>
      </c>
      <c r="H6" s="64">
        <f>[2]COBRANZAS!I12</f>
        <v>44277000</v>
      </c>
      <c r="I6" s="64">
        <f>[2]COBRANZAS!J12</f>
        <v>45283000</v>
      </c>
      <c r="J6" s="64">
        <f>[2]COBRANZAS!K12</f>
        <v>46289000</v>
      </c>
      <c r="K6" s="64">
        <f>[2]COBRANZAS!L12</f>
        <v>47295000</v>
      </c>
      <c r="L6" s="64">
        <f>[2]COBRANZAS!M12</f>
        <v>48654000</v>
      </c>
      <c r="M6" s="64">
        <f>[2]COBRANZAS!N12</f>
        <v>50013000</v>
      </c>
      <c r="N6" s="64">
        <f>[2]COBRANZAS!O12</f>
        <v>51372000</v>
      </c>
      <c r="O6" s="64">
        <f>[2]COBRANZAS!P12</f>
        <v>535883000</v>
      </c>
    </row>
    <row r="7" spans="2:16" x14ac:dyDescent="0.25"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</row>
    <row r="8" spans="2:16" x14ac:dyDescent="0.25">
      <c r="B8" s="64" t="s">
        <v>103</v>
      </c>
      <c r="C8" s="64">
        <f>[2]PAGOS!E11</f>
        <v>3690000</v>
      </c>
      <c r="D8" s="64">
        <f>[2]PAGOS!F11</f>
        <v>3813000</v>
      </c>
      <c r="E8" s="64">
        <f>[2]PAGOS!G11</f>
        <v>3936000</v>
      </c>
      <c r="F8" s="64">
        <f>[2]PAGOS!H11</f>
        <v>4059000</v>
      </c>
      <c r="G8" s="64">
        <f>[2]PAGOS!I11</f>
        <v>4182000</v>
      </c>
      <c r="H8" s="64">
        <f>[2]PAGOS!J11</f>
        <v>4264000</v>
      </c>
      <c r="I8" s="64">
        <f>[2]PAGOS!K11</f>
        <v>4346000</v>
      </c>
      <c r="J8" s="64">
        <f>[2]PAGOS!L11</f>
        <v>4428000</v>
      </c>
      <c r="K8" s="64">
        <f>[2]PAGOS!M11</f>
        <v>4510000</v>
      </c>
      <c r="L8" s="64">
        <f>[2]PAGOS!N11</f>
        <v>4633000</v>
      </c>
      <c r="M8" s="64">
        <f>[2]PAGOS!O11</f>
        <v>4756000</v>
      </c>
      <c r="N8" s="64">
        <f>[2]PAGOS!P11</f>
        <v>4879000</v>
      </c>
      <c r="O8" s="64">
        <f>[2]PAGOS!Q11</f>
        <v>51496000</v>
      </c>
    </row>
    <row r="9" spans="2:16" x14ac:dyDescent="0.25"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</row>
    <row r="10" spans="2:16" x14ac:dyDescent="0.25">
      <c r="B10" s="65" t="s">
        <v>102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</row>
    <row r="11" spans="2:16" x14ac:dyDescent="0.25">
      <c r="B11" s="64" t="s">
        <v>101</v>
      </c>
      <c r="C11" s="64">
        <f>EGRESOS!C22</f>
        <v>4200000</v>
      </c>
      <c r="D11" s="64">
        <f>EGRESOS!D22</f>
        <v>4200000</v>
      </c>
      <c r="E11" s="64">
        <f>EGRESOS!E22</f>
        <v>4200000</v>
      </c>
      <c r="F11" s="64">
        <f>EGRESOS!F22</f>
        <v>4200000</v>
      </c>
      <c r="G11" s="64">
        <f>EGRESOS!G22</f>
        <v>4200000</v>
      </c>
      <c r="H11" s="64">
        <f>EGRESOS!H22</f>
        <v>4200000</v>
      </c>
      <c r="I11" s="64">
        <f>EGRESOS!I22</f>
        <v>4200000</v>
      </c>
      <c r="J11" s="64">
        <f>EGRESOS!J22</f>
        <v>4200000</v>
      </c>
      <c r="K11" s="64">
        <f>EGRESOS!K22</f>
        <v>4200000</v>
      </c>
      <c r="L11" s="64">
        <f>EGRESOS!L22</f>
        <v>4200000</v>
      </c>
      <c r="M11" s="64">
        <f>EGRESOS!M22</f>
        <v>4200000</v>
      </c>
      <c r="N11" s="64">
        <f>EGRESOS!N22</f>
        <v>4200000</v>
      </c>
      <c r="O11" s="64">
        <f>EGRESOS!O22</f>
        <v>50400000</v>
      </c>
    </row>
    <row r="12" spans="2:16" x14ac:dyDescent="0.25">
      <c r="B12" s="64" t="s">
        <v>100</v>
      </c>
      <c r="C12" s="64">
        <f>EGRESOS!C23</f>
        <v>8351126</v>
      </c>
      <c r="D12" s="64">
        <f>EGRESOS!C23</f>
        <v>8351126</v>
      </c>
      <c r="E12" s="64">
        <f>EGRESOS!D23</f>
        <v>8351126</v>
      </c>
      <c r="F12" s="64">
        <f>EGRESOS!E23</f>
        <v>8351126</v>
      </c>
      <c r="G12" s="64">
        <f>EGRESOS!F23</f>
        <v>8351126</v>
      </c>
      <c r="H12" s="64">
        <f>EGRESOS!G23</f>
        <v>8351126</v>
      </c>
      <c r="I12" s="64">
        <f>EGRESOS!H23</f>
        <v>8351126</v>
      </c>
      <c r="J12" s="64">
        <f>EGRESOS!I23</f>
        <v>8351126</v>
      </c>
      <c r="K12" s="64">
        <f>EGRESOS!J23</f>
        <v>8351126</v>
      </c>
      <c r="L12" s="64">
        <f>EGRESOS!K23</f>
        <v>8351126</v>
      </c>
      <c r="M12" s="64">
        <f>EGRESOS!L23</f>
        <v>8351126</v>
      </c>
      <c r="N12" s="64">
        <f>EGRESOS!M23</f>
        <v>8351126</v>
      </c>
      <c r="O12" s="64">
        <f>EGRESOS!O23</f>
        <v>100213512</v>
      </c>
    </row>
    <row r="13" spans="2:16" x14ac:dyDescent="0.25"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</row>
    <row r="14" spans="2:16" x14ac:dyDescent="0.25">
      <c r="B14" s="64" t="s">
        <v>99</v>
      </c>
      <c r="C14" s="64">
        <f>EGRESOS!C10-EGRESOS!C9-(EGRESOS!C7)</f>
        <v>3600000</v>
      </c>
      <c r="D14" s="64">
        <f>EGRESOS!D10-EGRESOS!D9-(EGRESOS!D7)</f>
        <v>3720000</v>
      </c>
      <c r="E14" s="64">
        <f>EGRESOS!E10-EGRESOS!E9-(EGRESOS!E7)</f>
        <v>3840000</v>
      </c>
      <c r="F14" s="64">
        <f>EGRESOS!F10-EGRESOS!F9-(EGRESOS!F7)</f>
        <v>3960000</v>
      </c>
      <c r="G14" s="64">
        <f>EGRESOS!G10-EGRESOS!G9-(EGRESOS!G7)</f>
        <v>4080000</v>
      </c>
      <c r="H14" s="64">
        <f>EGRESOS!H10-EGRESOS!H9-(EGRESOS!H7)</f>
        <v>4200000</v>
      </c>
      <c r="I14" s="64">
        <f>EGRESOS!I10-EGRESOS!I9-(EGRESOS!I7)</f>
        <v>4320000</v>
      </c>
      <c r="J14" s="64">
        <f>EGRESOS!J10-EGRESOS!J9-(EGRESOS!J7)</f>
        <v>4400000</v>
      </c>
      <c r="K14" s="64">
        <f>EGRESOS!K10-EGRESOS!K9-(EGRESOS!K7)</f>
        <v>4520000</v>
      </c>
      <c r="L14" s="64">
        <f>EGRESOS!L10-EGRESOS!L9-(EGRESOS!L7)</f>
        <v>4640000</v>
      </c>
      <c r="M14" s="64">
        <f>EGRESOS!M10-EGRESOS!M9-(EGRESOS!M7)</f>
        <v>4760000</v>
      </c>
      <c r="N14" s="64">
        <f>EGRESOS!N10-EGRESOS!N9-(EGRESOS!N7)</f>
        <v>4840000</v>
      </c>
      <c r="O14" s="64">
        <f>EGRESOS!O10-EGRESOS!O9-(EGRESOS!O7)</f>
        <v>50880000</v>
      </c>
    </row>
    <row r="15" spans="2:16" x14ac:dyDescent="0.25">
      <c r="B15" s="64" t="s">
        <v>98</v>
      </c>
      <c r="C15" s="64">
        <f>EGRESOS!C28-SUM(EGRESOS!C22:C23)</f>
        <v>507360</v>
      </c>
      <c r="D15" s="64">
        <f>EGRESOS!D28-SUM(EGRESOS!D22:D23)</f>
        <v>514272</v>
      </c>
      <c r="E15" s="64">
        <f>EGRESOS!E28-SUM(EGRESOS!E22:E23)</f>
        <v>521184</v>
      </c>
      <c r="F15" s="64">
        <f>EGRESOS!F28-SUM(EGRESOS!F22:F23)</f>
        <v>528096</v>
      </c>
      <c r="G15" s="64">
        <f>EGRESOS!G28-SUM(EGRESOS!G22:G23)</f>
        <v>535008</v>
      </c>
      <c r="H15" s="64">
        <f>EGRESOS!H28-SUM(EGRESOS!H22:H23)</f>
        <v>539616</v>
      </c>
      <c r="I15" s="64">
        <f>EGRESOS!I28-SUM(EGRESOS!I22:I23)</f>
        <v>544224</v>
      </c>
      <c r="J15" s="64">
        <f>EGRESOS!J28-SUM(EGRESOS!J22:J23)</f>
        <v>548832</v>
      </c>
      <c r="K15" s="64">
        <f>EGRESOS!K28-SUM(EGRESOS!K22:K23)</f>
        <v>553440</v>
      </c>
      <c r="L15" s="64">
        <f>EGRESOS!L28-SUM(EGRESOS!L22:L23)</f>
        <v>560352</v>
      </c>
      <c r="M15" s="64">
        <f>EGRESOS!M28-SUM(EGRESOS!M22:M23)</f>
        <v>567264</v>
      </c>
      <c r="N15" s="64">
        <f>EGRESOS!N28-SUM(EGRESOS!N22:N23)</f>
        <v>574176</v>
      </c>
      <c r="O15" s="64">
        <f>EGRESOS!O28-SUM(EGRESOS!O22:O23)</f>
        <v>6493824</v>
      </c>
    </row>
    <row r="16" spans="2:16" x14ac:dyDescent="0.25"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</row>
    <row r="17" spans="2:16" s="58" customFormat="1" ht="15.75" thickBot="1" x14ac:dyDescent="0.3">
      <c r="B17" s="63" t="s">
        <v>97</v>
      </c>
      <c r="C17" s="63">
        <f>C14+C15+C8</f>
        <v>7797360</v>
      </c>
      <c r="D17" s="63">
        <f t="shared" ref="D17:O17" si="0">D14+D15+D8</f>
        <v>8047272</v>
      </c>
      <c r="E17" s="63">
        <f t="shared" si="0"/>
        <v>8297184</v>
      </c>
      <c r="F17" s="63">
        <f t="shared" si="0"/>
        <v>8547096</v>
      </c>
      <c r="G17" s="63">
        <f t="shared" si="0"/>
        <v>8797008</v>
      </c>
      <c r="H17" s="63">
        <f t="shared" si="0"/>
        <v>9003616</v>
      </c>
      <c r="I17" s="63">
        <f t="shared" si="0"/>
        <v>9210224</v>
      </c>
      <c r="J17" s="63">
        <f t="shared" si="0"/>
        <v>9376832</v>
      </c>
      <c r="K17" s="63">
        <f t="shared" si="0"/>
        <v>9583440</v>
      </c>
      <c r="L17" s="63">
        <f>L14+L15+L8</f>
        <v>9833352</v>
      </c>
      <c r="M17" s="63">
        <f t="shared" si="0"/>
        <v>10083264</v>
      </c>
      <c r="N17" s="63">
        <f t="shared" si="0"/>
        <v>10293176</v>
      </c>
      <c r="O17" s="65">
        <f t="shared" si="0"/>
        <v>108869824</v>
      </c>
      <c r="P17" s="114"/>
    </row>
    <row r="18" spans="2:16" ht="16.5" thickTop="1" thickBot="1" x14ac:dyDescent="0.3"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spans="2:16" s="58" customFormat="1" ht="15.75" thickBot="1" x14ac:dyDescent="0.3">
      <c r="B19" s="61" t="s">
        <v>96</v>
      </c>
      <c r="C19" s="60">
        <f t="shared" ref="C19:O19" si="1">+C6-C17</f>
        <v>29972640</v>
      </c>
      <c r="D19" s="60">
        <f t="shared" si="1"/>
        <v>31146728</v>
      </c>
      <c r="E19" s="60">
        <f t="shared" si="1"/>
        <v>32255816</v>
      </c>
      <c r="F19" s="60">
        <f t="shared" si="1"/>
        <v>33364904</v>
      </c>
      <c r="G19" s="60">
        <f t="shared" si="1"/>
        <v>34473992</v>
      </c>
      <c r="H19" s="60">
        <f t="shared" si="1"/>
        <v>35273384</v>
      </c>
      <c r="I19" s="60">
        <f t="shared" si="1"/>
        <v>36072776</v>
      </c>
      <c r="J19" s="60">
        <f t="shared" si="1"/>
        <v>36912168</v>
      </c>
      <c r="K19" s="60">
        <f t="shared" si="1"/>
        <v>37711560</v>
      </c>
      <c r="L19" s="60">
        <f t="shared" si="1"/>
        <v>38820648</v>
      </c>
      <c r="M19" s="60">
        <f t="shared" si="1"/>
        <v>39929736</v>
      </c>
      <c r="N19" s="60">
        <f t="shared" si="1"/>
        <v>41078824</v>
      </c>
      <c r="O19" s="59">
        <f t="shared" si="1"/>
        <v>427013176</v>
      </c>
    </row>
    <row r="21" spans="2:16" x14ac:dyDescent="0.25">
      <c r="B21" s="104" t="s">
        <v>95</v>
      </c>
      <c r="C21" s="104">
        <v>120000000</v>
      </c>
      <c r="O21" s="57">
        <f>C21</f>
        <v>120000000</v>
      </c>
    </row>
    <row r="23" spans="2:16" x14ac:dyDescent="0.25">
      <c r="B23" s="58" t="s">
        <v>94</v>
      </c>
    </row>
    <row r="25" spans="2:16" x14ac:dyDescent="0.25">
      <c r="B25" s="65" t="s">
        <v>93</v>
      </c>
      <c r="C25" s="64">
        <f>'FUENTE DE FINANCIAMIENTO'!C4</f>
        <v>80000000</v>
      </c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>
        <f>C25</f>
        <v>80000000</v>
      </c>
    </row>
    <row r="26" spans="2:16" x14ac:dyDescent="0.25">
      <c r="B26" s="64" t="s">
        <v>92</v>
      </c>
      <c r="C26" s="64"/>
      <c r="D26" s="64">
        <f>-'FUENTE DE FINANCIAMIENTO'!$H$10</f>
        <v>-2702249.8020812827</v>
      </c>
      <c r="E26" s="64">
        <f>-'FUENTE DE FINANCIAMIENTO'!$H$10</f>
        <v>-2702249.8020812827</v>
      </c>
      <c r="F26" s="64">
        <f>-'FUENTE DE FINANCIAMIENTO'!$H$10</f>
        <v>-2702249.8020812827</v>
      </c>
      <c r="G26" s="64">
        <f>-'FUENTE DE FINANCIAMIENTO'!$H$10</f>
        <v>-2702249.8020812827</v>
      </c>
      <c r="H26" s="64">
        <f>-'FUENTE DE FINANCIAMIENTO'!$H$10</f>
        <v>-2702249.8020812827</v>
      </c>
      <c r="I26" s="64">
        <f>-'FUENTE DE FINANCIAMIENTO'!$H$10</f>
        <v>-2702249.8020812827</v>
      </c>
      <c r="J26" s="64">
        <f>-'FUENTE DE FINANCIAMIENTO'!$H$10</f>
        <v>-2702249.8020812827</v>
      </c>
      <c r="K26" s="64">
        <f>-'FUENTE DE FINANCIAMIENTO'!$H$10</f>
        <v>-2702249.8020812827</v>
      </c>
      <c r="L26" s="64">
        <f>-'FUENTE DE FINANCIAMIENTO'!$H$10</f>
        <v>-2702249.8020812827</v>
      </c>
      <c r="M26" s="64">
        <f>-'FUENTE DE FINANCIAMIENTO'!$H$10</f>
        <v>-2702249.8020812827</v>
      </c>
      <c r="N26" s="64">
        <f>-'FUENTE DE FINANCIAMIENTO'!$H$10</f>
        <v>-2702249.8020812827</v>
      </c>
      <c r="O26" s="64">
        <f>SUM(D26:N26)</f>
        <v>-29724747.822894111</v>
      </c>
    </row>
    <row r="27" spans="2:16" x14ac:dyDescent="0.25">
      <c r="B27" s="65" t="s">
        <v>91</v>
      </c>
      <c r="C27" s="64">
        <f t="shared" ref="C27:N27" si="2">C25+C26</f>
        <v>80000000</v>
      </c>
      <c r="D27" s="64">
        <f t="shared" si="2"/>
        <v>-2702249.8020812827</v>
      </c>
      <c r="E27" s="64">
        <f t="shared" si="2"/>
        <v>-2702249.8020812827</v>
      </c>
      <c r="F27" s="64">
        <f t="shared" si="2"/>
        <v>-2702249.8020812827</v>
      </c>
      <c r="G27" s="64">
        <f t="shared" si="2"/>
        <v>-2702249.8020812827</v>
      </c>
      <c r="H27" s="64">
        <f t="shared" si="2"/>
        <v>-2702249.8020812827</v>
      </c>
      <c r="I27" s="64">
        <f t="shared" si="2"/>
        <v>-2702249.8020812827</v>
      </c>
      <c r="J27" s="64">
        <f t="shared" si="2"/>
        <v>-2702249.8020812827</v>
      </c>
      <c r="K27" s="64">
        <f t="shared" si="2"/>
        <v>-2702249.8020812827</v>
      </c>
      <c r="L27" s="64">
        <f t="shared" si="2"/>
        <v>-2702249.8020812827</v>
      </c>
      <c r="M27" s="64">
        <f t="shared" si="2"/>
        <v>-2702249.8020812827</v>
      </c>
      <c r="N27" s="64">
        <f t="shared" si="2"/>
        <v>-2702249.8020812827</v>
      </c>
      <c r="O27" s="64">
        <f>SUM(C27:N27)</f>
        <v>50275252.177105896</v>
      </c>
    </row>
    <row r="28" spans="2:16" x14ac:dyDescent="0.25"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</row>
    <row r="29" spans="2:16" x14ac:dyDescent="0.25">
      <c r="B29" s="65" t="s">
        <v>90</v>
      </c>
      <c r="C29" s="64">
        <f t="shared" ref="C29:O29" si="3">C19-C21+C27</f>
        <v>-10027360</v>
      </c>
      <c r="D29" s="64">
        <f t="shared" si="3"/>
        <v>28444478.197918717</v>
      </c>
      <c r="E29" s="64">
        <f t="shared" si="3"/>
        <v>29553566.197918717</v>
      </c>
      <c r="F29" s="64">
        <f t="shared" si="3"/>
        <v>30662654.197918717</v>
      </c>
      <c r="G29" s="64">
        <f t="shared" si="3"/>
        <v>31771742.197918717</v>
      </c>
      <c r="H29" s="64">
        <f t="shared" si="3"/>
        <v>32571134.197918717</v>
      </c>
      <c r="I29" s="64">
        <f t="shared" si="3"/>
        <v>33370526.197918717</v>
      </c>
      <c r="J29" s="64">
        <f t="shared" si="3"/>
        <v>34209918.197918721</v>
      </c>
      <c r="K29" s="64">
        <f t="shared" si="3"/>
        <v>35009310.197918721</v>
      </c>
      <c r="L29" s="64">
        <f t="shared" si="3"/>
        <v>36118398.197918721</v>
      </c>
      <c r="M29" s="64">
        <f t="shared" si="3"/>
        <v>37227486.197918721</v>
      </c>
      <c r="N29" s="64">
        <f t="shared" si="3"/>
        <v>38376574.197918721</v>
      </c>
      <c r="O29" s="64">
        <f t="shared" si="3"/>
        <v>357288428.1771059</v>
      </c>
    </row>
    <row r="30" spans="2:16" x14ac:dyDescent="0.25"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</row>
    <row r="31" spans="2:16" x14ac:dyDescent="0.25">
      <c r="B31" s="65" t="s">
        <v>89</v>
      </c>
      <c r="C31" s="113">
        <v>40000000</v>
      </c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</row>
    <row r="32" spans="2:16" x14ac:dyDescent="0.25"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</row>
    <row r="33" spans="2:15" x14ac:dyDescent="0.25">
      <c r="B33" s="65" t="s">
        <v>88</v>
      </c>
      <c r="C33" s="64">
        <f>$C$31+C29</f>
        <v>29972640</v>
      </c>
      <c r="D33" s="64">
        <f t="shared" ref="D33:N33" si="4">C33+D29</f>
        <v>58417118.197918713</v>
      </c>
      <c r="E33" s="64">
        <f t="shared" si="4"/>
        <v>87970684.395837426</v>
      </c>
      <c r="F33" s="64">
        <f t="shared" si="4"/>
        <v>118633338.59375614</v>
      </c>
      <c r="G33" s="64">
        <f t="shared" si="4"/>
        <v>150405080.79167485</v>
      </c>
      <c r="H33" s="64">
        <f t="shared" si="4"/>
        <v>182976214.98959357</v>
      </c>
      <c r="I33" s="64">
        <f t="shared" si="4"/>
        <v>216346741.18751228</v>
      </c>
      <c r="J33" s="64">
        <f t="shared" si="4"/>
        <v>250556659.38543099</v>
      </c>
      <c r="K33" s="64">
        <f t="shared" si="4"/>
        <v>285565969.5833497</v>
      </c>
      <c r="L33" s="64">
        <f t="shared" si="4"/>
        <v>321684367.78126842</v>
      </c>
      <c r="M33" s="64">
        <f t="shared" si="4"/>
        <v>358911853.97918713</v>
      </c>
      <c r="N33" s="64">
        <f t="shared" si="4"/>
        <v>397288428.17710584</v>
      </c>
      <c r="O33" s="64">
        <f>N33+N29+133710</f>
        <v>435798712.37502456</v>
      </c>
    </row>
  </sheetData>
  <mergeCells count="1">
    <mergeCell ref="B4:O4"/>
  </mergeCells>
  <pageMargins left="0.7" right="0.7" top="0.75" bottom="0.75" header="0.3" footer="0.3"/>
  <pageSetup paperSize="9" orientation="portrait" horizontalDpi="180" verticalDpi="180" r:id="rId1"/>
  <ignoredErrors>
    <ignoredError sqref="C15:N15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9"/>
  <sheetViews>
    <sheetView tabSelected="1" workbookViewId="0">
      <selection activeCell="C23" sqref="C23"/>
    </sheetView>
  </sheetViews>
  <sheetFormatPr baseColWidth="10" defaultRowHeight="15" x14ac:dyDescent="0.25"/>
  <cols>
    <col min="1" max="1" width="11.42578125" style="69"/>
    <col min="2" max="2" width="27.42578125" style="69" bestFit="1" customWidth="1"/>
    <col min="3" max="3" width="25.42578125" style="69" customWidth="1"/>
    <col min="4" max="4" width="15.5703125" style="69" bestFit="1" customWidth="1"/>
    <col min="5" max="8" width="14.85546875" style="69" bestFit="1" customWidth="1"/>
    <col min="9" max="9" width="17.7109375" style="69" customWidth="1"/>
    <col min="10" max="10" width="24.7109375" style="69" customWidth="1"/>
    <col min="11" max="16384" width="11.42578125" style="69"/>
  </cols>
  <sheetData>
    <row r="2" spans="2:11" x14ac:dyDescent="0.25">
      <c r="I2" s="73"/>
    </row>
    <row r="5" spans="2:11" x14ac:dyDescent="0.25">
      <c r="B5" s="129" t="s">
        <v>143</v>
      </c>
      <c r="C5" s="129"/>
      <c r="D5" s="129"/>
      <c r="E5" s="129"/>
      <c r="F5" s="129"/>
      <c r="G5" s="129"/>
      <c r="H5" s="129"/>
    </row>
    <row r="6" spans="2:11" x14ac:dyDescent="0.25">
      <c r="B6" s="81" t="s">
        <v>114</v>
      </c>
      <c r="C6" s="81" t="s">
        <v>113</v>
      </c>
      <c r="D6" s="80" t="s">
        <v>1</v>
      </c>
      <c r="E6" s="79" t="s">
        <v>2</v>
      </c>
      <c r="F6" s="79" t="s">
        <v>3</v>
      </c>
      <c r="G6" s="79" t="s">
        <v>4</v>
      </c>
      <c r="H6" s="79" t="s">
        <v>5</v>
      </c>
      <c r="J6" s="73" t="s">
        <v>115</v>
      </c>
      <c r="K6" s="82">
        <v>0.5</v>
      </c>
    </row>
    <row r="7" spans="2:11" x14ac:dyDescent="0.25">
      <c r="B7" s="77" t="s">
        <v>112</v>
      </c>
      <c r="C7" s="77"/>
      <c r="D7" s="78">
        <f>'FLUJO DE CAJA'!O6</f>
        <v>535883000</v>
      </c>
      <c r="E7" s="78">
        <f>INGRESOS!C28*[2]COBRANZAS!$P$15+INGRESOS!D28*(1-[2]COBRANZAS!$P$15)</f>
        <v>568035980</v>
      </c>
      <c r="F7" s="78">
        <f>INGRESOS!D28*[2]COBRANZAS!$P$15+INGRESOS!E28*(1-[2]COBRANZAS!$P$15)</f>
        <v>602118138.79999995</v>
      </c>
      <c r="G7" s="78">
        <f>INGRESOS!E28*[2]COBRANZAS!$P$15+INGRESOS!F28*(1-[2]COBRANZAS!$P$15)</f>
        <v>638245227.12800002</v>
      </c>
      <c r="H7" s="78">
        <f>INGRESOS!F28*[2]COBRANZAS!$P$15+INGRESOS!G28*(1-[2]COBRANZAS!$P$15)</f>
        <v>676539940.75567997</v>
      </c>
    </row>
    <row r="8" spans="2:11" x14ac:dyDescent="0.25">
      <c r="B8" s="77" t="s">
        <v>111</v>
      </c>
      <c r="C8" s="77"/>
      <c r="D8" s="78">
        <f>'PERDIDAS Y GANANCIAS '!C13</f>
        <v>250857976</v>
      </c>
      <c r="E8" s="78">
        <f>'PERDIDAS Y GANANCIAS '!D13</f>
        <v>263973160.24000001</v>
      </c>
      <c r="F8" s="78">
        <f>'PERDIDAS Y GANANCIAS '!E13</f>
        <v>280979252.6728</v>
      </c>
      <c r="G8" s="78">
        <f>'PERDIDAS Y GANANCIAS '!F13</f>
        <v>299097625.84885603</v>
      </c>
      <c r="H8" s="78">
        <f>'PERDIDAS Y GANANCIAS '!G13</f>
        <v>318401959.47657353</v>
      </c>
    </row>
    <row r="9" spans="2:11" x14ac:dyDescent="0.25">
      <c r="B9" s="77"/>
      <c r="C9" s="77"/>
      <c r="D9" s="77"/>
      <c r="E9" s="77"/>
      <c r="F9" s="77"/>
      <c r="G9" s="77"/>
      <c r="H9" s="77"/>
    </row>
    <row r="10" spans="2:11" ht="15.75" thickBot="1" x14ac:dyDescent="0.3">
      <c r="B10" s="77" t="s">
        <v>110</v>
      </c>
      <c r="C10" s="78">
        <f>-'PERDIDAS Y GANANCIAS '!C17</f>
        <v>-120000000</v>
      </c>
      <c r="D10" s="77"/>
      <c r="E10" s="77"/>
      <c r="F10" s="77"/>
      <c r="G10" s="77"/>
      <c r="H10" s="77"/>
    </row>
    <row r="11" spans="2:11" x14ac:dyDescent="0.25">
      <c r="B11" s="77"/>
      <c r="C11" s="77"/>
      <c r="D11" s="77"/>
      <c r="E11" s="77"/>
      <c r="F11" s="77"/>
      <c r="G11" s="77"/>
      <c r="H11" s="76"/>
      <c r="I11" s="75" t="s">
        <v>6</v>
      </c>
    </row>
    <row r="12" spans="2:11" ht="15.75" thickBot="1" x14ac:dyDescent="0.3">
      <c r="B12" s="74" t="s">
        <v>109</v>
      </c>
      <c r="C12" s="100">
        <f>C10</f>
        <v>-120000000</v>
      </c>
      <c r="D12" s="100">
        <f>D7-D8</f>
        <v>285025024</v>
      </c>
      <c r="E12" s="100">
        <f>E7-E8</f>
        <v>304062819.75999999</v>
      </c>
      <c r="F12" s="100">
        <f>F7-F8</f>
        <v>321138886.12719995</v>
      </c>
      <c r="G12" s="100">
        <f>G7-G8</f>
        <v>339147601.27914399</v>
      </c>
      <c r="H12" s="100">
        <f>H7-H8</f>
        <v>358137981.27910644</v>
      </c>
      <c r="I12" s="116">
        <f>SUM(C12:H12)</f>
        <v>1487512312.4454503</v>
      </c>
    </row>
    <row r="13" spans="2:11" ht="15.75" thickTop="1" x14ac:dyDescent="0.25"/>
    <row r="15" spans="2:11" x14ac:dyDescent="0.25">
      <c r="B15" s="73" t="s">
        <v>139</v>
      </c>
      <c r="C15" s="131">
        <f>IRR(C12:H12)</f>
        <v>2.4320994613446629</v>
      </c>
    </row>
    <row r="16" spans="2:11" x14ac:dyDescent="0.25">
      <c r="C16" s="82"/>
    </row>
    <row r="17" spans="2:5" x14ac:dyDescent="0.25">
      <c r="B17" s="73" t="s">
        <v>108</v>
      </c>
      <c r="C17" s="72">
        <f>-C12+NPV(K6,C12:I12)</f>
        <v>483368818.88725644</v>
      </c>
      <c r="E17" s="6"/>
    </row>
    <row r="19" spans="2:5" x14ac:dyDescent="0.25">
      <c r="B19" s="71" t="s">
        <v>107</v>
      </c>
      <c r="C19" s="70">
        <f>(C17/5)/-C12</f>
        <v>0.80561469814542741</v>
      </c>
    </row>
  </sheetData>
  <mergeCells count="1">
    <mergeCell ref="B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OBJETIVOS FINANCIEROS</vt:lpstr>
      <vt:lpstr>INVERSION INICIAL</vt:lpstr>
      <vt:lpstr>FUENTE DE FINANCIAMIENTO</vt:lpstr>
      <vt:lpstr>PLAN DE PRODUCCION</vt:lpstr>
      <vt:lpstr>COSTOS DE PRODUCCION</vt:lpstr>
      <vt:lpstr>INGRESOS</vt:lpstr>
      <vt:lpstr>EGRESOS</vt:lpstr>
      <vt:lpstr>FLUJO DE CAJA</vt:lpstr>
      <vt:lpstr>ANALISIS DE RENTABILIDAD</vt:lpstr>
      <vt:lpstr>PERDIDAS Y GANANCIAS 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Garzon Casas</dc:creator>
  <cp:lastModifiedBy>Miguel Angel Garzon Casas</cp:lastModifiedBy>
  <dcterms:created xsi:type="dcterms:W3CDTF">2021-11-09T02:10:04Z</dcterms:created>
  <dcterms:modified xsi:type="dcterms:W3CDTF">2021-11-24T00:38:38Z</dcterms:modified>
</cp:coreProperties>
</file>