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harts/chartEx3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charts/chartEx4.xml" ContentType="application/vnd.ms-office.chartex+xml"/>
  <Override PartName="/xl/charts/style4.xml" ContentType="application/vnd.ms-office.chartstyle+xml"/>
  <Override PartName="/xl/charts/colors4.xml" ContentType="application/vnd.ms-office.chartcolorstyle+xml"/>
  <Override PartName="/xl/charts/chartEx5.xml" ContentType="application/vnd.ms-office.chartex+xml"/>
  <Override PartName="/xl/charts/style5.xml" ContentType="application/vnd.ms-office.chartstyle+xml"/>
  <Override PartName="/xl/charts/colors5.xml" ContentType="application/vnd.ms-office.chartcolorstyle+xml"/>
  <Override PartName="/xl/charts/chartEx6.xml" ContentType="application/vnd.ms-office.chartex+xml"/>
  <Override PartName="/xl/charts/style6.xml" ContentType="application/vnd.ms-office.chartstyle+xml"/>
  <Override PartName="/xl/charts/colors6.xml" ContentType="application/vnd.ms-office.chartcolorstyle+xml"/>
  <Override PartName="/xl/charts/chartEx7.xml" ContentType="application/vnd.ms-office.chartex+xml"/>
  <Override PartName="/xl/charts/style7.xml" ContentType="application/vnd.ms-office.chartstyle+xml"/>
  <Override PartName="/xl/charts/colors7.xml" ContentType="application/vnd.ms-office.chartcolorsty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ULY FLOREZ\Desktop\TESIS YULY Y NIVALDO\"/>
    </mc:Choice>
  </mc:AlternateContent>
  <xr:revisionPtr revIDLastSave="0" documentId="13_ncr:1_{1445F69B-4E45-41E4-8329-4477CD94AD3F}" xr6:coauthVersionLast="47" xr6:coauthVersionMax="47" xr10:uidLastSave="{00000000-0000-0000-0000-000000000000}"/>
  <bookViews>
    <workbookView xWindow="-120" yWindow="-120" windowWidth="20730" windowHeight="11040" xr2:uid="{D85490E6-6B63-4FF7-AD02-61CBD3752200}"/>
  </bookViews>
  <sheets>
    <sheet name="resultadso" sheetId="2" r:id="rId1"/>
    <sheet name="coprrelaciones" sheetId="7" r:id="rId2"/>
    <sheet name="objetivos" sheetId="5" r:id="rId3"/>
    <sheet name="BASE COMPRACIONES" sheetId="6" r:id="rId4"/>
    <sheet name="CLASE I NUEVO" sheetId="3" r:id="rId5"/>
    <sheet name="CLASE II NUEVO" sheetId="4" r:id="rId6"/>
    <sheet name="calse iii" sheetId="1" r:id="rId7"/>
  </sheets>
  <definedNames>
    <definedName name="_xlchart.v1.0" hidden="1">'BASE COMPRACIONES'!$BD$4</definedName>
    <definedName name="_xlchart.v1.1" hidden="1">'BASE COMPRACIONES'!$BD$5:$BD$27</definedName>
    <definedName name="_xlchart.v1.10" hidden="1">'BASE COMPRACIONES'!$BJ$4</definedName>
    <definedName name="_xlchart.v1.11" hidden="1">'BASE COMPRACIONES'!$BJ$5:$BJ$27</definedName>
    <definedName name="_xlchart.v1.12" hidden="1">'BASE COMPRACIONES'!$BL$4</definedName>
    <definedName name="_xlchart.v1.13" hidden="1">'BASE COMPRACIONES'!$BL$5:$BL$27</definedName>
    <definedName name="_xlchart.v1.14" hidden="1">'BASE COMPRACIONES'!$BM$4</definedName>
    <definedName name="_xlchart.v1.15" hidden="1">'BASE COMPRACIONES'!$BM$5:$BM$27</definedName>
    <definedName name="_xlchart.v1.16" hidden="1">'BASE COMPRACIONES'!$BN$4</definedName>
    <definedName name="_xlchart.v1.17" hidden="1">'BASE COMPRACIONES'!$BN$5:$BN$27</definedName>
    <definedName name="_xlchart.v1.18" hidden="1">'BASE COMPRACIONES'!$BT$4</definedName>
    <definedName name="_xlchart.v1.19" hidden="1">'BASE COMPRACIONES'!$BT$5:$BT$27</definedName>
    <definedName name="_xlchart.v1.2" hidden="1">'BASE COMPRACIONES'!$BE$4</definedName>
    <definedName name="_xlchart.v1.20" hidden="1">'BASE COMPRACIONES'!$BU$4</definedName>
    <definedName name="_xlchart.v1.21" hidden="1">'BASE COMPRACIONES'!$BU$5:$BU$27</definedName>
    <definedName name="_xlchart.v1.22" hidden="1">'BASE COMPRACIONES'!$BV$4</definedName>
    <definedName name="_xlchart.v1.23" hidden="1">'BASE COMPRACIONES'!$BV$5:$BV$27</definedName>
    <definedName name="_xlchart.v1.24" hidden="1">'BASE COMPRACIONES'!$BX$4</definedName>
    <definedName name="_xlchart.v1.25" hidden="1">'BASE COMPRACIONES'!$BX$5:$BX$27</definedName>
    <definedName name="_xlchart.v1.26" hidden="1">'BASE COMPRACIONES'!$BY$4</definedName>
    <definedName name="_xlchart.v1.27" hidden="1">'BASE COMPRACIONES'!$BY$5:$BY$27</definedName>
    <definedName name="_xlchart.v1.28" hidden="1">'BASE COMPRACIONES'!$BZ$4</definedName>
    <definedName name="_xlchart.v1.29" hidden="1">'BASE COMPRACIONES'!$BZ$5:$BZ$27</definedName>
    <definedName name="_xlchart.v1.3" hidden="1">'BASE COMPRACIONES'!$BE$5:$BE$27</definedName>
    <definedName name="_xlchart.v1.30" hidden="1">'BASE COMPRACIONES'!$CB$4</definedName>
    <definedName name="_xlchart.v1.31" hidden="1">'BASE COMPRACIONES'!$CB$5:$CB$27</definedName>
    <definedName name="_xlchart.v1.32" hidden="1">'BASE COMPRACIONES'!$CC$4</definedName>
    <definedName name="_xlchart.v1.33" hidden="1">'BASE COMPRACIONES'!$CC$5:$CC$27</definedName>
    <definedName name="_xlchart.v1.34" hidden="1">'BASE COMPRACIONES'!$CD$4</definedName>
    <definedName name="_xlchart.v1.35" hidden="1">'BASE COMPRACIONES'!$CD$5:$CD$27</definedName>
    <definedName name="_xlchart.v1.36" hidden="1">'BASE COMPRACIONES'!$BP$4</definedName>
    <definedName name="_xlchart.v1.37" hidden="1">'BASE COMPRACIONES'!$BP$5:$BP$27</definedName>
    <definedName name="_xlchart.v1.38" hidden="1">'BASE COMPRACIONES'!$BQ$4</definedName>
    <definedName name="_xlchart.v1.39" hidden="1">'BASE COMPRACIONES'!$BQ$5:$BQ$27</definedName>
    <definedName name="_xlchart.v1.4" hidden="1">'BASE COMPRACIONES'!$BF$4</definedName>
    <definedName name="_xlchart.v1.40" hidden="1">'BASE COMPRACIONES'!$BR$4</definedName>
    <definedName name="_xlchart.v1.41" hidden="1">'BASE COMPRACIONES'!$BR$5:$BR$27</definedName>
    <definedName name="_xlchart.v1.5" hidden="1">'BASE COMPRACIONES'!$BF$5:$BF$27</definedName>
    <definedName name="_xlchart.v1.6" hidden="1">'BASE COMPRACIONES'!$BH$4</definedName>
    <definedName name="_xlchart.v1.7" hidden="1">'BASE COMPRACIONES'!$BH$5:$BH$27</definedName>
    <definedName name="_xlchart.v1.8" hidden="1">'BASE COMPRACIONES'!$BI$4</definedName>
    <definedName name="_xlchart.v1.9" hidden="1">'BASE COMPRACIONES'!$BI$5:$BI$27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4" i="7" l="1"/>
  <c r="H71" i="7"/>
  <c r="H49" i="7"/>
  <c r="K59" i="7" s="1"/>
  <c r="N3" i="6"/>
  <c r="Z43" i="6"/>
  <c r="X43" i="6"/>
  <c r="Y43" i="6"/>
  <c r="W43" i="6"/>
  <c r="W42" i="6"/>
  <c r="R52" i="6"/>
  <c r="R51" i="6"/>
  <c r="R50" i="6"/>
  <c r="R49" i="6"/>
  <c r="R48" i="6"/>
  <c r="R46" i="6"/>
  <c r="R47" i="6"/>
  <c r="R45" i="6"/>
  <c r="R3" i="6"/>
  <c r="R42" i="6" s="1"/>
  <c r="R44" i="6"/>
  <c r="R43" i="6"/>
  <c r="CB23" i="2"/>
  <c r="H58" i="7" l="1"/>
  <c r="H59" i="7"/>
  <c r="T51" i="6" l="1"/>
  <c r="Y25" i="6"/>
  <c r="T50" i="6"/>
  <c r="X25" i="6"/>
  <c r="S51" i="6"/>
  <c r="S50" i="6"/>
  <c r="X32" i="6"/>
  <c r="U51" i="6"/>
  <c r="Z25" i="6"/>
  <c r="U50" i="6"/>
  <c r="Y32" i="6"/>
  <c r="Z32" i="6"/>
  <c r="U9" i="6"/>
  <c r="T24" i="6"/>
  <c r="T47" i="6" s="1"/>
  <c r="T28" i="6"/>
  <c r="T33" i="6"/>
  <c r="T37" i="6"/>
  <c r="AD9" i="6"/>
  <c r="AD10" i="6" s="1"/>
  <c r="T9" i="6"/>
  <c r="T27" i="6"/>
  <c r="S9" i="6"/>
  <c r="AX7" i="6"/>
  <c r="AY7" i="6" s="1"/>
  <c r="T22" i="6"/>
  <c r="T45" i="6" s="1"/>
  <c r="T26" i="6"/>
  <c r="T31" i="6"/>
  <c r="T35" i="6"/>
  <c r="W9" i="6"/>
  <c r="T23" i="6"/>
  <c r="T46" i="6" s="1"/>
  <c r="T36" i="6"/>
  <c r="V9" i="6"/>
  <c r="T25" i="6"/>
  <c r="T29" i="6"/>
  <c r="T34" i="6"/>
  <c r="T44" i="6" s="1"/>
  <c r="AN7" i="6"/>
  <c r="AM7" i="6"/>
  <c r="AL7" i="6"/>
  <c r="AD7" i="6"/>
  <c r="T32" i="6"/>
  <c r="T49" i="6" s="1"/>
  <c r="S32" i="6"/>
  <c r="S49" i="6" s="1"/>
  <c r="S23" i="6"/>
  <c r="S46" i="6" s="1"/>
  <c r="AM6" i="6"/>
  <c r="S8" i="6"/>
  <c r="S31" i="6"/>
  <c r="S22" i="6"/>
  <c r="S45" i="6" s="1"/>
  <c r="AL6" i="6"/>
  <c r="U8" i="6"/>
  <c r="S33" i="6"/>
  <c r="AX6" i="6"/>
  <c r="AY6" i="6" s="1"/>
  <c r="AN6" i="6"/>
  <c r="S29" i="6"/>
  <c r="T16" i="6"/>
  <c r="W8" i="6"/>
  <c r="S35" i="6"/>
  <c r="S26" i="6"/>
  <c r="V8" i="6"/>
  <c r="S25" i="6"/>
  <c r="S37" i="6"/>
  <c r="S28" i="6"/>
  <c r="S36" i="6"/>
  <c r="S27" i="6"/>
  <c r="AC9" i="6"/>
  <c r="AC10" i="6" s="1"/>
  <c r="S16" i="6"/>
  <c r="S34" i="6"/>
  <c r="S44" i="6" s="1"/>
  <c r="S24" i="6"/>
  <c r="S47" i="6" s="1"/>
  <c r="AC7" i="6"/>
  <c r="T8" i="6"/>
  <c r="AD6" i="6"/>
  <c r="AK7" i="6"/>
  <c r="Y21" i="6"/>
  <c r="T21" i="6"/>
  <c r="T43" i="6" s="1"/>
  <c r="AV7" i="6"/>
  <c r="R9" i="6"/>
  <c r="AE6" i="6"/>
  <c r="AV8" i="6"/>
  <c r="AK8" i="6"/>
  <c r="Z21" i="6"/>
  <c r="U21" i="6"/>
  <c r="U43" i="6" s="1"/>
  <c r="R10" i="6"/>
  <c r="U23" i="6"/>
  <c r="U46" i="6" s="1"/>
  <c r="U27" i="6"/>
  <c r="U32" i="6"/>
  <c r="U36" i="6"/>
  <c r="AM8" i="6"/>
  <c r="W10" i="6"/>
  <c r="AX8" i="6"/>
  <c r="AY8" i="6" s="1"/>
  <c r="AL8" i="6"/>
  <c r="V10" i="6"/>
  <c r="U24" i="6"/>
  <c r="U47" i="6" s="1"/>
  <c r="U28" i="6"/>
  <c r="U33" i="6"/>
  <c r="U37" i="6"/>
  <c r="AE9" i="6"/>
  <c r="AE10" i="6" s="1"/>
  <c r="U10" i="6"/>
  <c r="U25" i="6"/>
  <c r="U26" i="6"/>
  <c r="U35" i="6"/>
  <c r="T10" i="6"/>
  <c r="U29" i="6"/>
  <c r="U34" i="6"/>
  <c r="U44" i="6" s="1"/>
  <c r="S10" i="6"/>
  <c r="U22" i="6"/>
  <c r="U45" i="6" s="1"/>
  <c r="U31" i="6"/>
  <c r="U48" i="6" s="1"/>
  <c r="AE7" i="6"/>
  <c r="AN8" i="6"/>
  <c r="AV6" i="6"/>
  <c r="R8" i="6"/>
  <c r="AK6" i="6"/>
  <c r="AC6" i="6"/>
  <c r="S21" i="6"/>
  <c r="S43" i="6" s="1"/>
  <c r="X21" i="6"/>
  <c r="AF13" i="6" l="1"/>
  <c r="AM14" i="6"/>
  <c r="Y46" i="6" s="1"/>
  <c r="T14" i="6"/>
  <c r="T15" i="6" s="1"/>
  <c r="AX13" i="6"/>
  <c r="AX12" i="6"/>
  <c r="AL12" i="6"/>
  <c r="X44" i="6" s="1"/>
  <c r="AK14" i="6"/>
  <c r="W46" i="6" s="1"/>
  <c r="S15" i="6"/>
  <c r="S14" i="6" s="1"/>
  <c r="AF10" i="6"/>
  <c r="AK13" i="6"/>
  <c r="W45" i="6" s="1"/>
  <c r="AK12" i="6"/>
  <c r="W44" i="6" s="1"/>
  <c r="AL14" i="6"/>
  <c r="X46" i="6" s="1"/>
  <c r="AL13" i="6"/>
  <c r="X45" i="6" s="1"/>
  <c r="S48" i="6"/>
  <c r="S30" i="6"/>
  <c r="U30" i="6"/>
  <c r="U49" i="6"/>
  <c r="AN9" i="6"/>
  <c r="AM9" i="6"/>
  <c r="AO9" i="6" s="1"/>
  <c r="T30" i="6"/>
  <c r="T48" i="6"/>
  <c r="AV13" i="6"/>
  <c r="AV12" i="6"/>
  <c r="AX9" i="6"/>
  <c r="AX14" i="6"/>
  <c r="AV14" i="6"/>
  <c r="AW12" i="6"/>
  <c r="AW13" i="6"/>
  <c r="AW14" i="6"/>
  <c r="U16" i="6"/>
  <c r="AF9" i="6"/>
  <c r="AM12" i="6"/>
  <c r="AM13" i="6"/>
  <c r="AT14" i="6" l="1"/>
  <c r="AF11" i="6"/>
  <c r="X14" i="6"/>
  <c r="U14" i="6"/>
  <c r="AT12" i="6"/>
  <c r="Y44" i="6"/>
  <c r="Y45" i="6"/>
  <c r="AT13" i="6"/>
  <c r="AN14" i="6"/>
  <c r="AN12" i="6"/>
  <c r="AS12" i="6" s="1"/>
  <c r="AN13" i="6"/>
  <c r="AS13" i="6" s="1"/>
  <c r="AY13" i="6"/>
  <c r="BB13" i="6" s="1"/>
  <c r="AY14" i="6"/>
  <c r="BB14" i="6" s="1"/>
  <c r="AY12" i="6"/>
  <c r="BB12" i="6" s="1"/>
  <c r="U15" i="6"/>
  <c r="AZ14" i="6" l="1"/>
  <c r="AF14" i="6"/>
  <c r="AF16" i="6" s="1"/>
  <c r="V14" i="6"/>
  <c r="W14" i="6" s="1"/>
  <c r="S52" i="6" s="1"/>
  <c r="AS14" i="6"/>
  <c r="AP14" i="6"/>
  <c r="AO14" i="6"/>
  <c r="AQ14" i="6"/>
  <c r="AO12" i="6"/>
  <c r="X10" i="6"/>
  <c r="X8" i="6"/>
  <c r="X9" i="6"/>
  <c r="Z14" i="6"/>
  <c r="Y14" i="6"/>
  <c r="AZ12" i="6"/>
  <c r="AQ12" i="6"/>
  <c r="AP13" i="6"/>
  <c r="AZ13" i="6"/>
  <c r="AQ13" i="6"/>
  <c r="AP12" i="6"/>
  <c r="AO13" i="6"/>
  <c r="Z46" i="6" l="1"/>
  <c r="Z45" i="6"/>
  <c r="Z44" i="6"/>
  <c r="Y9" i="6"/>
  <c r="Z9" i="6"/>
  <c r="Z10" i="6"/>
  <c r="Y10" i="6"/>
  <c r="Z8" i="6"/>
  <c r="Y8" i="6"/>
</calcChain>
</file>

<file path=xl/sharedStrings.xml><?xml version="1.0" encoding="utf-8"?>
<sst xmlns="http://schemas.openxmlformats.org/spreadsheetml/2006/main" count="1150" uniqueCount="293">
  <si>
    <t>Input Date</t>
  </si>
  <si>
    <t>Name</t>
  </si>
  <si>
    <t>3H1n</t>
  </si>
  <si>
    <t>3H3n</t>
  </si>
  <si>
    <t>3H5n</t>
  </si>
  <si>
    <t>3H6n</t>
  </si>
  <si>
    <t>3H8n</t>
  </si>
  <si>
    <t>3H9n</t>
  </si>
  <si>
    <t>3H10n</t>
  </si>
  <si>
    <t>3H11n</t>
  </si>
  <si>
    <t>3H12n</t>
  </si>
  <si>
    <t>3H16n</t>
  </si>
  <si>
    <t>3H17n</t>
  </si>
  <si>
    <t>3H19n</t>
  </si>
  <si>
    <t>3H21</t>
  </si>
  <si>
    <t>3H22n</t>
  </si>
  <si>
    <t>3H23n</t>
  </si>
  <si>
    <t>3H24n</t>
  </si>
  <si>
    <t>3H25n</t>
  </si>
  <si>
    <t>3H26n</t>
  </si>
  <si>
    <t>3H27n</t>
  </si>
  <si>
    <t>3H28n</t>
  </si>
  <si>
    <t>3H29n</t>
  </si>
  <si>
    <t>3H30n</t>
  </si>
  <si>
    <t>3H31n</t>
  </si>
  <si>
    <t>POP_L*</t>
  </si>
  <si>
    <t>POP_R*</t>
  </si>
  <si>
    <t>APDI</t>
  </si>
  <si>
    <t>ANB*</t>
  </si>
  <si>
    <t>PP to FH</t>
  </si>
  <si>
    <t>LFHt</t>
  </si>
  <si>
    <t>N   S   Ba</t>
  </si>
  <si>
    <t>FMA(MP   FH) Ang_2D</t>
  </si>
  <si>
    <t>PRUEBA</t>
  </si>
  <si>
    <t>OBJETIVO</t>
  </si>
  <si>
    <t>ANALISIS EXPLORATORIO DE DATOS</t>
  </si>
  <si>
    <t>DESCRIBIR LA MUESTRA</t>
  </si>
  <si>
    <t>n</t>
  </si>
  <si>
    <t>Mean</t>
  </si>
  <si>
    <t>Standard Error</t>
  </si>
  <si>
    <t>Median</t>
  </si>
  <si>
    <t>Maximum</t>
  </si>
  <si>
    <t>Minimum</t>
  </si>
  <si>
    <t>IQR</t>
  </si>
  <si>
    <t>SW p-value</t>
  </si>
  <si>
    <t>Levene p-value</t>
  </si>
  <si>
    <t>P value</t>
  </si>
  <si>
    <t>Test</t>
  </si>
  <si>
    <t>SW</t>
  </si>
  <si>
    <t>DETERMINAR SI LAS MEDIDAS PRESENTAN DISTRIBUCION NORMAL</t>
  </si>
  <si>
    <t>group 1</t>
  </si>
  <si>
    <t>group 2</t>
  </si>
  <si>
    <t>mean</t>
  </si>
  <si>
    <t>p-value</t>
  </si>
  <si>
    <t>TEST</t>
  </si>
  <si>
    <t>Input in Excel Anova format</t>
  </si>
  <si>
    <t>LEVENE</t>
  </si>
  <si>
    <t>DETEREMINAR LA HOMCEDASTICIDAD DE LAS VZAS</t>
  </si>
  <si>
    <t>POP</t>
  </si>
  <si>
    <t>I</t>
  </si>
  <si>
    <t>ANOVA I</t>
  </si>
  <si>
    <t>II</t>
  </si>
  <si>
    <t>TUKEY</t>
  </si>
  <si>
    <t>Correlation Matrix</t>
  </si>
  <si>
    <t>III</t>
  </si>
  <si>
    <t>COMPARAR LAS MEDIDAS PARA VAZAS IGUALES</t>
  </si>
  <si>
    <t>CLASE</t>
  </si>
  <si>
    <t xml:space="preserve">POP </t>
  </si>
  <si>
    <t>lower</t>
  </si>
  <si>
    <t>upper</t>
  </si>
  <si>
    <t>WELCH</t>
  </si>
  <si>
    <t>COMPARAR LAS MEDIDAS PARA VAZAS DIFERENTES</t>
  </si>
  <si>
    <t>KW</t>
  </si>
  <si>
    <t>COMPARAR LAS MEDIDAS PARA DATOPS Q NO PRESENTA HOMOCEDASTOICIDAD NI DISTRIBUCION NORMAL</t>
  </si>
  <si>
    <t>POSHOC ANOVA I y WELCH</t>
  </si>
  <si>
    <t>NEMENY</t>
  </si>
  <si>
    <t>POSHOC KW</t>
  </si>
  <si>
    <t>Software Real Statititics V9.4 Sep 2024</t>
  </si>
  <si>
    <t/>
  </si>
  <si>
    <t>N-S-Ba</t>
  </si>
  <si>
    <t>FMA(MP-FH) Ang_2D</t>
  </si>
  <si>
    <t>08,21,2024 08:57:03</t>
  </si>
  <si>
    <t>29n</t>
  </si>
  <si>
    <t>08,21,2024 08:57:47</t>
  </si>
  <si>
    <t>218n</t>
  </si>
  <si>
    <t>121nC</t>
  </si>
  <si>
    <t>124nC</t>
  </si>
  <si>
    <t>125nC</t>
  </si>
  <si>
    <t>126nC</t>
  </si>
  <si>
    <t>127nC</t>
  </si>
  <si>
    <t>128nC</t>
  </si>
  <si>
    <t>129n</t>
  </si>
  <si>
    <t>S2n</t>
  </si>
  <si>
    <t>S4n</t>
  </si>
  <si>
    <t>S5n</t>
  </si>
  <si>
    <t>S6n</t>
  </si>
  <si>
    <t>S7n</t>
  </si>
  <si>
    <t>S11n</t>
  </si>
  <si>
    <t>S12n</t>
  </si>
  <si>
    <t>S15n</t>
  </si>
  <si>
    <t>S18n</t>
  </si>
  <si>
    <t>POP PROM</t>
  </si>
  <si>
    <t>08.21.2024 08:31:15</t>
  </si>
  <si>
    <t>2H1n</t>
  </si>
  <si>
    <t>08.21.2024 08:31:53</t>
  </si>
  <si>
    <t>2H2n</t>
  </si>
  <si>
    <t>08.21.2024 08:32:27</t>
  </si>
  <si>
    <t>2H3n</t>
  </si>
  <si>
    <t>08.21.2024 08:33:04</t>
  </si>
  <si>
    <t>2H4n</t>
  </si>
  <si>
    <t>08.21.2024 08:33:39</t>
  </si>
  <si>
    <t>2H5n</t>
  </si>
  <si>
    <t>08.21.2024 08:34:11</t>
  </si>
  <si>
    <t>2H6n</t>
  </si>
  <si>
    <t>Correlation Coefficients</t>
  </si>
  <si>
    <t>08.21.2024 08:34:47</t>
  </si>
  <si>
    <t>2H7n</t>
  </si>
  <si>
    <t>08.21.2024 08:35:19</t>
  </si>
  <si>
    <t>2H9n</t>
  </si>
  <si>
    <t>Pearson</t>
  </si>
  <si>
    <t>08.21.2024 08:36:04</t>
  </si>
  <si>
    <t>2H10n</t>
  </si>
  <si>
    <t>Spearman</t>
  </si>
  <si>
    <t>08.21.2024 08:36:43</t>
  </si>
  <si>
    <t>2H11n</t>
  </si>
  <si>
    <t>Kendall</t>
  </si>
  <si>
    <t>08.21.2024 08:37:15</t>
  </si>
  <si>
    <t>2H13n</t>
  </si>
  <si>
    <t>08.21.2024 08:37:47</t>
  </si>
  <si>
    <t>2H14n</t>
  </si>
  <si>
    <t>Spearman's coefficient (test)</t>
  </si>
  <si>
    <t>Kendall's coefficient (test)</t>
  </si>
  <si>
    <t>08.21.2024 08:38:19</t>
  </si>
  <si>
    <t>2H15n</t>
  </si>
  <si>
    <t>Pearson's coeff (t test)</t>
  </si>
  <si>
    <t>Pearson's coeff (Fisher)</t>
  </si>
  <si>
    <t>08.21.2024 08:39:01</t>
  </si>
  <si>
    <t>2H16n2</t>
  </si>
  <si>
    <t>Alpha</t>
  </si>
  <si>
    <t>11/13/14 15:14:12</t>
  </si>
  <si>
    <t>2H17_nc</t>
  </si>
  <si>
    <t>Hyp rho</t>
  </si>
  <si>
    <t>Tails</t>
  </si>
  <si>
    <t>11/13/14 15:15:57</t>
  </si>
  <si>
    <t>2H18</t>
  </si>
  <si>
    <t>11/13/14 14:37:40</t>
  </si>
  <si>
    <t>2H8n</t>
  </si>
  <si>
    <t>11/27/24</t>
  </si>
  <si>
    <t>corr</t>
  </si>
  <si>
    <t>11/27-24</t>
  </si>
  <si>
    <t>2h19</t>
  </si>
  <si>
    <t>std err</t>
  </si>
  <si>
    <t>08,21,2024 07:56:00</t>
  </si>
  <si>
    <t>08,21,2024 07:57:10</t>
  </si>
  <si>
    <t>08,21,2024 07:58:48</t>
  </si>
  <si>
    <t>08,21,2024 07:59:31</t>
  </si>
  <si>
    <t>08,21,2024 08:00:47</t>
  </si>
  <si>
    <t>08,21,2024 08:01:28</t>
  </si>
  <si>
    <t>08,21,2024 08:02:02</t>
  </si>
  <si>
    <t>08,21,2024 08:02:38</t>
  </si>
  <si>
    <t>08,21,2024 08:03:19</t>
  </si>
  <si>
    <t>08,21,2024 08:04:39</t>
  </si>
  <si>
    <t>08,21,2024 08:05:21</t>
  </si>
  <si>
    <t>08,21,2024 08:06:34</t>
  </si>
  <si>
    <t>08,21,2024 08:07:08</t>
  </si>
  <si>
    <t>08,21,2024 08:07:52</t>
  </si>
  <si>
    <t>08,21,2024 08:08:24</t>
  </si>
  <si>
    <t>08,21,2024 08:09:04</t>
  </si>
  <si>
    <t>08,21,2024 08:09:34</t>
  </si>
  <si>
    <t>08,21,2024 08:10:12</t>
  </si>
  <si>
    <t>08,21,2024 08:10:53</t>
  </si>
  <si>
    <t>08,21,2024 08:11:29</t>
  </si>
  <si>
    <t>08,21,2024 08:12:10</t>
  </si>
  <si>
    <t>08,21,2024 08:12:39</t>
  </si>
  <si>
    <t>08,21,2024 08:13:09</t>
  </si>
  <si>
    <t>08,21,2024 09:04:42</t>
  </si>
  <si>
    <t>08,21,2024 09:05:22</t>
  </si>
  <si>
    <t>08,21,2024 09:06:01</t>
  </si>
  <si>
    <t>08,21,2024 09:06:41</t>
  </si>
  <si>
    <t>08,21,2024 09:07:16</t>
  </si>
  <si>
    <t>08,21,2024 09:07:57</t>
  </si>
  <si>
    <t>08,21,2024 09:08:31</t>
  </si>
  <si>
    <t>08,21,2024 09:09:59</t>
  </si>
  <si>
    <t>08,21,2024 09:10:41</t>
  </si>
  <si>
    <t>08,21,2024 09:11:18</t>
  </si>
  <si>
    <t>08,21,2024 09:11:56</t>
  </si>
  <si>
    <t>08,21,2024 09:12:37</t>
  </si>
  <si>
    <t>08,21,2024 09:13:14</t>
  </si>
  <si>
    <t>08,21,2024 09:13:48</t>
  </si>
  <si>
    <t>08,21,2024 09:14:20</t>
  </si>
  <si>
    <t>08,21,2024 09:14:58</t>
  </si>
  <si>
    <t>08,21,2024 09:15:33</t>
  </si>
  <si>
    <t>08,21,2024 09:16:04</t>
  </si>
  <si>
    <t>08,21,2024 09:16:44</t>
  </si>
  <si>
    <t>08,21,2024 09:17:21</t>
  </si>
  <si>
    <t>08,21,2024 09:17:50</t>
  </si>
  <si>
    <t>CLASE III</t>
  </si>
  <si>
    <t>CLASE I</t>
  </si>
  <si>
    <t xml:space="preserve">CLASE </t>
  </si>
  <si>
    <t>CLASE II</t>
  </si>
  <si>
    <t>ANOVA: Single Factor</t>
  </si>
  <si>
    <t>DESCRIPTION</t>
  </si>
  <si>
    <t>Group</t>
  </si>
  <si>
    <t>Count</t>
  </si>
  <si>
    <t>Sum</t>
  </si>
  <si>
    <t>Variance</t>
  </si>
  <si>
    <t>SS</t>
  </si>
  <si>
    <t>Std Err</t>
  </si>
  <si>
    <t>Lower</t>
  </si>
  <si>
    <t>Upper</t>
  </si>
  <si>
    <t>ANOVA</t>
  </si>
  <si>
    <t>Sources</t>
  </si>
  <si>
    <t>df</t>
  </si>
  <si>
    <t>MS</t>
  </si>
  <si>
    <t>F</t>
  </si>
  <si>
    <t>Eta-sq</t>
  </si>
  <si>
    <t>RMSSE</t>
  </si>
  <si>
    <t>Omega Sq</t>
  </si>
  <si>
    <t>Between Groups</t>
  </si>
  <si>
    <t>Within Groups</t>
  </si>
  <si>
    <t>Total</t>
  </si>
  <si>
    <t>Kruskal-Wallis Test</t>
  </si>
  <si>
    <t>median</t>
  </si>
  <si>
    <t>rank sum</t>
  </si>
  <si>
    <t>count</t>
  </si>
  <si>
    <t>r^2/n</t>
  </si>
  <si>
    <t>H-stat</t>
  </si>
  <si>
    <t>H-ties</t>
  </si>
  <si>
    <t>alpha</t>
  </si>
  <si>
    <t>sig</t>
  </si>
  <si>
    <t>Levene's Tests</t>
  </si>
  <si>
    <t>type</t>
  </si>
  <si>
    <t>means</t>
  </si>
  <si>
    <t>medians</t>
  </si>
  <si>
    <t>trimmed</t>
  </si>
  <si>
    <t>TUKEY HSD/KRAMER</t>
  </si>
  <si>
    <t>group</t>
  </si>
  <si>
    <t>ss</t>
  </si>
  <si>
    <t>q-crit</t>
  </si>
  <si>
    <t>Q TEST</t>
  </si>
  <si>
    <t>q-stat</t>
  </si>
  <si>
    <t>mean-crit</t>
  </si>
  <si>
    <t>Cohen d</t>
  </si>
  <si>
    <t>NEMENYI TEST</t>
  </si>
  <si>
    <t>R sum</t>
  </si>
  <si>
    <t>size</t>
  </si>
  <si>
    <t>R mean</t>
  </si>
  <si>
    <t>R-crit</t>
  </si>
  <si>
    <t>Descriptive Statistics</t>
  </si>
  <si>
    <t>Mode</t>
  </si>
  <si>
    <t>Standard Deviation</t>
  </si>
  <si>
    <t>Sample Variance</t>
  </si>
  <si>
    <t>Kurtosis</t>
  </si>
  <si>
    <t>Skewness</t>
  </si>
  <si>
    <t>Range</t>
  </si>
  <si>
    <t>Geometric Mean</t>
  </si>
  <si>
    <t>Harmonic Mean</t>
  </si>
  <si>
    <t>AAD</t>
  </si>
  <si>
    <t>MAD</t>
  </si>
  <si>
    <t>Shapiro-Wilk Test</t>
  </si>
  <si>
    <t>W-stat</t>
  </si>
  <si>
    <t>normal</t>
  </si>
  <si>
    <t>d'Agostino-Pearson</t>
  </si>
  <si>
    <t>DA-stat</t>
  </si>
  <si>
    <t xml:space="preserve">TUKEY HSD/KRAMER </t>
  </si>
  <si>
    <t>vs POP I</t>
  </si>
  <si>
    <t>vs POP II</t>
  </si>
  <si>
    <t>vs POP III</t>
  </si>
  <si>
    <t>N-S-Ba vs POP I</t>
  </si>
  <si>
    <t>APDI vs POP I</t>
  </si>
  <si>
    <t>ANB* vs POP I</t>
  </si>
  <si>
    <t>PP to FH vs POP I</t>
  </si>
  <si>
    <t>LFHt vs POP I</t>
  </si>
  <si>
    <t>FMA(MP-FH) Ang_2D vs POP I</t>
  </si>
  <si>
    <t>N-S-Ba vs POP II</t>
  </si>
  <si>
    <t>APDI vs POP II</t>
  </si>
  <si>
    <t>ANB* vs POP II</t>
  </si>
  <si>
    <t>PP to FH vs POP II</t>
  </si>
  <si>
    <t>LFHt vs POP II</t>
  </si>
  <si>
    <t>FMA(MP-FH) Ang_2D vs POP II</t>
  </si>
  <si>
    <t>N-S-Ba vs POP III</t>
  </si>
  <si>
    <t>APDI vs POP III</t>
  </si>
  <si>
    <t>ANB* vs POP III</t>
  </si>
  <si>
    <t>PP to FH vs POP III</t>
  </si>
  <si>
    <t>LFHt vs POP III</t>
  </si>
  <si>
    <t>FMA(MP-FH) Ang_2D vs POP III</t>
  </si>
  <si>
    <t>t</t>
  </si>
  <si>
    <t>tau</t>
  </si>
  <si>
    <t>s.e.</t>
  </si>
  <si>
    <t>z</t>
  </si>
  <si>
    <t>z-crit</t>
  </si>
  <si>
    <t>rho</t>
  </si>
  <si>
    <t>t-stat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</si>
</sst>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"/>
  </numFmts>
  <fonts count="4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2" borderId="0" xfId="0" applyFill="1" applyAlignment="1">
      <alignment horizontal="left"/>
    </xf>
    <xf numFmtId="0" fontId="0" fillId="5" borderId="0" xfId="0" applyFill="1" applyAlignment="1">
      <alignment horizontal="left"/>
    </xf>
    <xf numFmtId="0" fontId="0" fillId="9" borderId="5" xfId="0" applyFill="1" applyBorder="1"/>
    <xf numFmtId="0" fontId="0" fillId="9" borderId="3" xfId="0" applyFill="1" applyBorder="1"/>
    <xf numFmtId="0" fontId="0" fillId="9" borderId="6" xfId="0" applyFill="1" applyBorder="1"/>
    <xf numFmtId="0" fontId="0" fillId="0" borderId="5" xfId="0" applyBorder="1"/>
    <xf numFmtId="0" fontId="0" fillId="0" borderId="1" xfId="0" applyBorder="1"/>
    <xf numFmtId="2" fontId="0" fillId="0" borderId="1" xfId="0" applyNumberFormat="1" applyBorder="1"/>
    <xf numFmtId="164" fontId="0" fillId="0" borderId="1" xfId="0" applyNumberFormat="1" applyBorder="1"/>
    <xf numFmtId="164" fontId="0" fillId="0" borderId="3" xfId="0" applyNumberFormat="1" applyBorder="1"/>
    <xf numFmtId="164" fontId="1" fillId="0" borderId="6" xfId="0" applyNumberFormat="1" applyFont="1" applyBorder="1"/>
    <xf numFmtId="0" fontId="0" fillId="0" borderId="7" xfId="0" applyBorder="1"/>
    <xf numFmtId="0" fontId="0" fillId="0" borderId="6" xfId="0" applyBorder="1"/>
    <xf numFmtId="0" fontId="0" fillId="0" borderId="8" xfId="0" applyBorder="1"/>
    <xf numFmtId="164" fontId="0" fillId="0" borderId="9" xfId="0" applyNumberFormat="1" applyBorder="1"/>
    <xf numFmtId="164" fontId="0" fillId="0" borderId="7" xfId="0" applyNumberFormat="1" applyBorder="1"/>
    <xf numFmtId="0" fontId="0" fillId="9" borderId="3" xfId="0" applyFill="1" applyBorder="1" applyAlignment="1">
      <alignment horizontal="center"/>
    </xf>
    <xf numFmtId="0" fontId="0" fillId="0" borderId="3" xfId="0" applyBorder="1"/>
    <xf numFmtId="2" fontId="0" fillId="0" borderId="3" xfId="0" applyNumberFormat="1" applyBorder="1"/>
    <xf numFmtId="0" fontId="0" fillId="0" borderId="10" xfId="0" applyBorder="1"/>
    <xf numFmtId="164" fontId="1" fillId="0" borderId="1" xfId="0" applyNumberFormat="1" applyFont="1" applyBorder="1"/>
    <xf numFmtId="0" fontId="0" fillId="0" borderId="11" xfId="0" applyBorder="1"/>
    <xf numFmtId="164" fontId="0" fillId="0" borderId="6" xfId="0" applyNumberFormat="1" applyBorder="1"/>
    <xf numFmtId="0" fontId="0" fillId="0" borderId="4" xfId="0" applyBorder="1"/>
    <xf numFmtId="2" fontId="0" fillId="0" borderId="4" xfId="0" applyNumberFormat="1" applyBorder="1"/>
    <xf numFmtId="164" fontId="0" fillId="0" borderId="4" xfId="0" applyNumberFormat="1" applyBorder="1"/>
    <xf numFmtId="164" fontId="0" fillId="0" borderId="11" xfId="0" applyNumberFormat="1" applyBorder="1"/>
    <xf numFmtId="164" fontId="1" fillId="0" borderId="9" xfId="0" applyNumberFormat="1" applyFont="1" applyBorder="1"/>
    <xf numFmtId="164" fontId="1" fillId="0" borderId="7" xfId="0" applyNumberFormat="1" applyFont="1" applyBorder="1"/>
    <xf numFmtId="164" fontId="1" fillId="0" borderId="3" xfId="0" applyNumberFormat="1" applyFont="1" applyBorder="1"/>
    <xf numFmtId="164" fontId="1" fillId="0" borderId="4" xfId="0" applyNumberFormat="1" applyFont="1" applyBorder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3" borderId="0" xfId="0" applyFill="1" applyAlignment="1">
      <alignment horizontal="left"/>
    </xf>
    <xf numFmtId="0" fontId="0" fillId="10" borderId="0" xfId="0" applyFill="1" applyAlignment="1">
      <alignment horizontal="left"/>
    </xf>
    <xf numFmtId="0" fontId="0" fillId="11" borderId="0" xfId="0" applyFill="1" applyAlignment="1">
      <alignment horizontal="left"/>
    </xf>
    <xf numFmtId="0" fontId="0" fillId="12" borderId="0" xfId="0" applyFill="1" applyAlignment="1">
      <alignment horizontal="left"/>
    </xf>
    <xf numFmtId="0" fontId="0" fillId="7" borderId="0" xfId="0" applyFill="1" applyAlignment="1">
      <alignment horizontal="left"/>
    </xf>
    <xf numFmtId="0" fontId="0" fillId="13" borderId="0" xfId="0" applyFill="1" applyAlignment="1">
      <alignment horizontal="left"/>
    </xf>
    <xf numFmtId="0" fontId="0" fillId="0" borderId="0" xfId="0" applyAlignment="1">
      <alignment horizontal="left"/>
    </xf>
    <xf numFmtId="0" fontId="2" fillId="3" borderId="0" xfId="0" applyFont="1" applyFill="1"/>
    <xf numFmtId="0" fontId="0" fillId="14" borderId="0" xfId="0" applyFill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15" borderId="0" xfId="0" applyFill="1"/>
    <xf numFmtId="2" fontId="0" fillId="16" borderId="0" xfId="0" applyNumberFormat="1" applyFill="1"/>
    <xf numFmtId="0" fontId="0" fillId="16" borderId="0" xfId="0" applyFill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3" fillId="0" borderId="25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0" xfId="0" applyAlignment="1">
      <alignment horizontal="right"/>
    </xf>
    <xf numFmtId="0" fontId="0" fillId="0" borderId="16" xfId="0" applyBorder="1" applyAlignment="1">
      <alignment horizontal="right"/>
    </xf>
    <xf numFmtId="0" fontId="3" fillId="0" borderId="27" xfId="0" applyFont="1" applyBorder="1" applyAlignment="1">
      <alignment horizontal="center"/>
    </xf>
    <xf numFmtId="0" fontId="0" fillId="0" borderId="27" xfId="0" applyBorder="1" applyAlignment="1">
      <alignment horizontal="right"/>
    </xf>
    <xf numFmtId="164" fontId="2" fillId="0" borderId="1" xfId="0" applyNumberFormat="1" applyFont="1" applyBorder="1"/>
    <xf numFmtId="0" fontId="0" fillId="0" borderId="28" xfId="0" applyBorder="1"/>
    <xf numFmtId="0" fontId="0" fillId="0" borderId="13" xfId="0" applyBorder="1"/>
    <xf numFmtId="0" fontId="3" fillId="0" borderId="12" xfId="0" applyFont="1" applyBorder="1" applyAlignment="1">
      <alignment horizontal="center"/>
    </xf>
    <xf numFmtId="0" fontId="0" fillId="0" borderId="29" xfId="0" applyBorder="1"/>
    <xf numFmtId="164" fontId="0" fillId="0" borderId="30" xfId="0" applyNumberFormat="1" applyBorder="1"/>
    <xf numFmtId="0" fontId="0" fillId="0" borderId="31" xfId="0" applyBorder="1"/>
    <xf numFmtId="164" fontId="0" fillId="0" borderId="32" xfId="0" applyNumberFormat="1" applyBorder="1"/>
    <xf numFmtId="0" fontId="0" fillId="0" borderId="33" xfId="0" applyBorder="1"/>
    <xf numFmtId="164" fontId="0" fillId="0" borderId="34" xfId="0" applyNumberFormat="1" applyBorder="1"/>
    <xf numFmtId="0" fontId="0" fillId="9" borderId="1" xfId="0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0" fontId="0" fillId="9" borderId="3" xfId="0" applyFill="1" applyBorder="1" applyAlignment="1">
      <alignment horizontal="center" vertical="center" wrapText="1"/>
    </xf>
    <xf numFmtId="0" fontId="0" fillId="9" borderId="4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06B23A8F-749A-4806-AA8A-CE737DD8F37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Ex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Ex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Ex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Ex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Scatter Plot - N-S-Ba vs POP I (p&gt;0,05)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>
              <a:noFill/>
            </a:ln>
          </c:spPr>
          <c:trendline>
            <c:name>Linear (Series1)</c:name>
            <c:trendlineType val="linear"/>
            <c:dispRSqr val="0"/>
            <c:dispEq val="0"/>
          </c:trendline>
          <c:xVal>
            <c:numRef>
              <c:f>coprrelaciones!$C$4:$C$26</c:f>
              <c:numCache>
                <c:formatCode>General</c:formatCode>
                <c:ptCount val="23"/>
                <c:pt idx="0">
                  <c:v>128.91</c:v>
                </c:pt>
                <c:pt idx="1">
                  <c:v>129.61000000000001</c:v>
                </c:pt>
                <c:pt idx="2">
                  <c:v>133.56</c:v>
                </c:pt>
                <c:pt idx="3">
                  <c:v>131.19</c:v>
                </c:pt>
                <c:pt idx="4">
                  <c:v>118.19</c:v>
                </c:pt>
                <c:pt idx="5">
                  <c:v>118.03</c:v>
                </c:pt>
                <c:pt idx="6">
                  <c:v>133.12</c:v>
                </c:pt>
                <c:pt idx="7">
                  <c:v>124.43</c:v>
                </c:pt>
                <c:pt idx="8">
                  <c:v>136.32</c:v>
                </c:pt>
                <c:pt idx="9">
                  <c:v>126.14</c:v>
                </c:pt>
                <c:pt idx="10">
                  <c:v>135.49</c:v>
                </c:pt>
                <c:pt idx="11">
                  <c:v>134.11000000000001</c:v>
                </c:pt>
                <c:pt idx="12">
                  <c:v>136.35</c:v>
                </c:pt>
                <c:pt idx="13">
                  <c:v>126.85</c:v>
                </c:pt>
                <c:pt idx="14">
                  <c:v>131.29</c:v>
                </c:pt>
                <c:pt idx="15">
                  <c:v>127.58</c:v>
                </c:pt>
                <c:pt idx="16">
                  <c:v>133.80000000000001</c:v>
                </c:pt>
                <c:pt idx="17">
                  <c:v>127.7</c:v>
                </c:pt>
                <c:pt idx="18">
                  <c:v>124.72</c:v>
                </c:pt>
                <c:pt idx="19">
                  <c:v>134.15</c:v>
                </c:pt>
                <c:pt idx="20">
                  <c:v>129.49</c:v>
                </c:pt>
                <c:pt idx="21">
                  <c:v>134.56</c:v>
                </c:pt>
                <c:pt idx="22">
                  <c:v>135.12</c:v>
                </c:pt>
              </c:numCache>
            </c:numRef>
          </c:xVal>
          <c:yVal>
            <c:numRef>
              <c:f>coprrelaciones!$B$4:$B$26</c:f>
              <c:numCache>
                <c:formatCode>General</c:formatCode>
                <c:ptCount val="23"/>
                <c:pt idx="0">
                  <c:v>8.875</c:v>
                </c:pt>
                <c:pt idx="1">
                  <c:v>10.98</c:v>
                </c:pt>
                <c:pt idx="2">
                  <c:v>12.61</c:v>
                </c:pt>
                <c:pt idx="3">
                  <c:v>11.805</c:v>
                </c:pt>
                <c:pt idx="4">
                  <c:v>24.545000000000002</c:v>
                </c:pt>
                <c:pt idx="5">
                  <c:v>24.3</c:v>
                </c:pt>
                <c:pt idx="6">
                  <c:v>14.760000000000002</c:v>
                </c:pt>
                <c:pt idx="7">
                  <c:v>10.76</c:v>
                </c:pt>
                <c:pt idx="8">
                  <c:v>18.774999999999999</c:v>
                </c:pt>
                <c:pt idx="9">
                  <c:v>14.074999999999999</c:v>
                </c:pt>
                <c:pt idx="10">
                  <c:v>18.46</c:v>
                </c:pt>
                <c:pt idx="11">
                  <c:v>17.425000000000001</c:v>
                </c:pt>
                <c:pt idx="12">
                  <c:v>18.274999999999999</c:v>
                </c:pt>
                <c:pt idx="13">
                  <c:v>17.54</c:v>
                </c:pt>
                <c:pt idx="14">
                  <c:v>19.555</c:v>
                </c:pt>
                <c:pt idx="15">
                  <c:v>22.25</c:v>
                </c:pt>
                <c:pt idx="16">
                  <c:v>21.765000000000001</c:v>
                </c:pt>
                <c:pt idx="17">
                  <c:v>22.950000000000003</c:v>
                </c:pt>
                <c:pt idx="18">
                  <c:v>23.765000000000001</c:v>
                </c:pt>
                <c:pt idx="19">
                  <c:v>16.63</c:v>
                </c:pt>
                <c:pt idx="20">
                  <c:v>22.3</c:v>
                </c:pt>
                <c:pt idx="21">
                  <c:v>16.990000000000002</c:v>
                </c:pt>
                <c:pt idx="22">
                  <c:v>15.83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758-4A34-B392-C278A8739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4994352"/>
        <c:axId val="680515279"/>
      </c:scatterChart>
      <c:valAx>
        <c:axId val="1534994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80515279"/>
        <c:crosses val="autoZero"/>
        <c:crossBetween val="midCat"/>
      </c:valAx>
      <c:valAx>
        <c:axId val="680515279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34994352"/>
        <c:crosses val="autoZero"/>
        <c:crossBetween val="midCat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Scatter Plot - PP to FH vs POP II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>
              <a:noFill/>
            </a:ln>
          </c:spPr>
          <c:trendline>
            <c:name>Linear (Series1)</c:name>
            <c:trendlineType val="linear"/>
            <c:dispRSqr val="0"/>
            <c:dispEq val="0"/>
          </c:trendline>
          <c:xVal>
            <c:numRef>
              <c:f>coprrelaciones!$P$4:$P$26</c:f>
              <c:numCache>
                <c:formatCode>General</c:formatCode>
                <c:ptCount val="23"/>
                <c:pt idx="0">
                  <c:v>1.04</c:v>
                </c:pt>
                <c:pt idx="1">
                  <c:v>2.09</c:v>
                </c:pt>
                <c:pt idx="2">
                  <c:v>2.99</c:v>
                </c:pt>
                <c:pt idx="3">
                  <c:v>0.97</c:v>
                </c:pt>
                <c:pt idx="4">
                  <c:v>3.63</c:v>
                </c:pt>
                <c:pt idx="5">
                  <c:v>5.16</c:v>
                </c:pt>
                <c:pt idx="6">
                  <c:v>1.78</c:v>
                </c:pt>
                <c:pt idx="7">
                  <c:v>3.99</c:v>
                </c:pt>
                <c:pt idx="8">
                  <c:v>1.52</c:v>
                </c:pt>
                <c:pt idx="9">
                  <c:v>4.04</c:v>
                </c:pt>
                <c:pt idx="10">
                  <c:v>6.98</c:v>
                </c:pt>
                <c:pt idx="11">
                  <c:v>0.57999999999999996</c:v>
                </c:pt>
                <c:pt idx="12">
                  <c:v>2.6</c:v>
                </c:pt>
                <c:pt idx="13">
                  <c:v>2.19</c:v>
                </c:pt>
                <c:pt idx="14">
                  <c:v>3.81</c:v>
                </c:pt>
                <c:pt idx="15">
                  <c:v>7.81</c:v>
                </c:pt>
                <c:pt idx="16">
                  <c:v>2.39</c:v>
                </c:pt>
                <c:pt idx="17">
                  <c:v>3.32</c:v>
                </c:pt>
                <c:pt idx="18">
                  <c:v>3.18</c:v>
                </c:pt>
                <c:pt idx="19" formatCode="0.00">
                  <c:v>2.5538514782876596</c:v>
                </c:pt>
                <c:pt idx="20" formatCode="0.00">
                  <c:v>2.6160986855412203</c:v>
                </c:pt>
                <c:pt idx="21" formatCode="0.00">
                  <c:v>6.3925302289483241</c:v>
                </c:pt>
                <c:pt idx="22" formatCode="0.00">
                  <c:v>6.1706069722494385</c:v>
                </c:pt>
              </c:numCache>
            </c:numRef>
          </c:xVal>
          <c:yVal>
            <c:numRef>
              <c:f>coprrelaciones!$L$4:$L$26</c:f>
              <c:numCache>
                <c:formatCode>General</c:formatCode>
                <c:ptCount val="23"/>
                <c:pt idx="0">
                  <c:v>19.805</c:v>
                </c:pt>
                <c:pt idx="1">
                  <c:v>17.074999999999999</c:v>
                </c:pt>
                <c:pt idx="2">
                  <c:v>17.690000000000001</c:v>
                </c:pt>
                <c:pt idx="3">
                  <c:v>23.675000000000001</c:v>
                </c:pt>
                <c:pt idx="4">
                  <c:v>26.574999999999999</c:v>
                </c:pt>
                <c:pt idx="5">
                  <c:v>18.810000000000002</c:v>
                </c:pt>
                <c:pt idx="6">
                  <c:v>23.265000000000001</c:v>
                </c:pt>
                <c:pt idx="7">
                  <c:v>21.695</c:v>
                </c:pt>
                <c:pt idx="8">
                  <c:v>17.045000000000002</c:v>
                </c:pt>
                <c:pt idx="9">
                  <c:v>20.434999999999999</c:v>
                </c:pt>
                <c:pt idx="10">
                  <c:v>17.914999999999999</c:v>
                </c:pt>
                <c:pt idx="11">
                  <c:v>18.18</c:v>
                </c:pt>
                <c:pt idx="12">
                  <c:v>17.645</c:v>
                </c:pt>
                <c:pt idx="13">
                  <c:v>20.490000000000002</c:v>
                </c:pt>
                <c:pt idx="14">
                  <c:v>16.225000000000001</c:v>
                </c:pt>
                <c:pt idx="15">
                  <c:v>15.29</c:v>
                </c:pt>
                <c:pt idx="16">
                  <c:v>14.445</c:v>
                </c:pt>
                <c:pt idx="17">
                  <c:v>13.705</c:v>
                </c:pt>
                <c:pt idx="18">
                  <c:v>22.37</c:v>
                </c:pt>
                <c:pt idx="19">
                  <c:v>27.573308198025668</c:v>
                </c:pt>
                <c:pt idx="20">
                  <c:v>15.382416930769482</c:v>
                </c:pt>
                <c:pt idx="21">
                  <c:v>18.208863235742221</c:v>
                </c:pt>
                <c:pt idx="22">
                  <c:v>15.089813275703385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7C2-4481-A0F3-65135A9AD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7549455"/>
        <c:axId val="1017540815"/>
      </c:scatterChart>
      <c:valAx>
        <c:axId val="10175494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17540815"/>
        <c:crosses val="autoZero"/>
        <c:crossBetween val="midCat"/>
      </c:valAx>
      <c:valAx>
        <c:axId val="1017540815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17549455"/>
        <c:crosses val="autoZero"/>
        <c:crossBetween val="midCat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Scatter Plot - LFHt vs POP II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>
              <a:noFill/>
            </a:ln>
          </c:spPr>
          <c:trendline>
            <c:name>Linear (Series1)</c:name>
            <c:trendlineType val="linear"/>
            <c:dispRSqr val="0"/>
            <c:dispEq val="0"/>
          </c:trendline>
          <c:xVal>
            <c:numRef>
              <c:f>coprrelaciones!$Q$4:$Q$26</c:f>
              <c:numCache>
                <c:formatCode>General</c:formatCode>
                <c:ptCount val="23"/>
                <c:pt idx="0">
                  <c:v>47.3</c:v>
                </c:pt>
                <c:pt idx="1">
                  <c:v>46.73</c:v>
                </c:pt>
                <c:pt idx="2">
                  <c:v>48.44</c:v>
                </c:pt>
                <c:pt idx="3">
                  <c:v>51.34</c:v>
                </c:pt>
                <c:pt idx="4">
                  <c:v>51.16</c:v>
                </c:pt>
                <c:pt idx="5">
                  <c:v>48.6</c:v>
                </c:pt>
                <c:pt idx="6">
                  <c:v>50.4</c:v>
                </c:pt>
                <c:pt idx="7">
                  <c:v>47.67</c:v>
                </c:pt>
                <c:pt idx="8">
                  <c:v>47.12</c:v>
                </c:pt>
                <c:pt idx="9">
                  <c:v>51.96</c:v>
                </c:pt>
                <c:pt idx="10">
                  <c:v>45.48</c:v>
                </c:pt>
                <c:pt idx="11">
                  <c:v>48.83</c:v>
                </c:pt>
                <c:pt idx="12">
                  <c:v>45.03</c:v>
                </c:pt>
                <c:pt idx="13">
                  <c:v>54.76</c:v>
                </c:pt>
                <c:pt idx="14">
                  <c:v>47.63</c:v>
                </c:pt>
                <c:pt idx="15">
                  <c:v>48.55</c:v>
                </c:pt>
                <c:pt idx="16">
                  <c:v>47.95</c:v>
                </c:pt>
                <c:pt idx="17">
                  <c:v>52.6</c:v>
                </c:pt>
                <c:pt idx="18">
                  <c:v>59.27</c:v>
                </c:pt>
                <c:pt idx="19" formatCode="0.00">
                  <c:v>46.831097097137864</c:v>
                </c:pt>
                <c:pt idx="20" formatCode="0.00">
                  <c:v>47.925740595529518</c:v>
                </c:pt>
                <c:pt idx="21" formatCode="0.00">
                  <c:v>50.030984652674292</c:v>
                </c:pt>
                <c:pt idx="22" formatCode="0.00">
                  <c:v>50.943396797197003</c:v>
                </c:pt>
              </c:numCache>
            </c:numRef>
          </c:xVal>
          <c:yVal>
            <c:numRef>
              <c:f>coprrelaciones!$L$4:$L$26</c:f>
              <c:numCache>
                <c:formatCode>General</c:formatCode>
                <c:ptCount val="23"/>
                <c:pt idx="0">
                  <c:v>19.805</c:v>
                </c:pt>
                <c:pt idx="1">
                  <c:v>17.074999999999999</c:v>
                </c:pt>
                <c:pt idx="2">
                  <c:v>17.690000000000001</c:v>
                </c:pt>
                <c:pt idx="3">
                  <c:v>23.675000000000001</c:v>
                </c:pt>
                <c:pt idx="4">
                  <c:v>26.574999999999999</c:v>
                </c:pt>
                <c:pt idx="5">
                  <c:v>18.810000000000002</c:v>
                </c:pt>
                <c:pt idx="6">
                  <c:v>23.265000000000001</c:v>
                </c:pt>
                <c:pt idx="7">
                  <c:v>21.695</c:v>
                </c:pt>
                <c:pt idx="8">
                  <c:v>17.045000000000002</c:v>
                </c:pt>
                <c:pt idx="9">
                  <c:v>20.434999999999999</c:v>
                </c:pt>
                <c:pt idx="10">
                  <c:v>17.914999999999999</c:v>
                </c:pt>
                <c:pt idx="11">
                  <c:v>18.18</c:v>
                </c:pt>
                <c:pt idx="12">
                  <c:v>17.645</c:v>
                </c:pt>
                <c:pt idx="13">
                  <c:v>20.490000000000002</c:v>
                </c:pt>
                <c:pt idx="14">
                  <c:v>16.225000000000001</c:v>
                </c:pt>
                <c:pt idx="15">
                  <c:v>15.29</c:v>
                </c:pt>
                <c:pt idx="16">
                  <c:v>14.445</c:v>
                </c:pt>
                <c:pt idx="17">
                  <c:v>13.705</c:v>
                </c:pt>
                <c:pt idx="18">
                  <c:v>22.37</c:v>
                </c:pt>
                <c:pt idx="19">
                  <c:v>27.573308198025668</c:v>
                </c:pt>
                <c:pt idx="20">
                  <c:v>15.382416930769482</c:v>
                </c:pt>
                <c:pt idx="21">
                  <c:v>18.208863235742221</c:v>
                </c:pt>
                <c:pt idx="22">
                  <c:v>15.089813275703385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C02-4B40-A4B9-20ED8F1A9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2957695"/>
        <c:axId val="982954815"/>
      </c:scatterChart>
      <c:valAx>
        <c:axId val="982957695"/>
        <c:scaling>
          <c:orientation val="minMax"/>
          <c:min val="40"/>
        </c:scaling>
        <c:delete val="0"/>
        <c:axPos val="b"/>
        <c:numFmt formatCode="General" sourceLinked="1"/>
        <c:majorTickMark val="out"/>
        <c:minorTickMark val="none"/>
        <c:tickLblPos val="nextTo"/>
        <c:crossAx val="982954815"/>
        <c:crosses val="autoZero"/>
        <c:crossBetween val="midCat"/>
      </c:valAx>
      <c:valAx>
        <c:axId val="982954815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82957695"/>
        <c:crosses val="autoZero"/>
        <c:crossBetween val="midCat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Scatter Plot - FMA(MP-FH) Ang_2D vs POP II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>
              <a:noFill/>
            </a:ln>
          </c:spPr>
          <c:trendline>
            <c:name>Linear (Series1)</c:name>
            <c:trendlineType val="linear"/>
            <c:dispRSqr val="0"/>
            <c:dispEq val="0"/>
          </c:trendline>
          <c:xVal>
            <c:numRef>
              <c:f>coprrelaciones!$R$4:$R$26</c:f>
              <c:numCache>
                <c:formatCode>General</c:formatCode>
                <c:ptCount val="23"/>
                <c:pt idx="0">
                  <c:v>27.17</c:v>
                </c:pt>
                <c:pt idx="1">
                  <c:v>26.08</c:v>
                </c:pt>
                <c:pt idx="2">
                  <c:v>29.28</c:v>
                </c:pt>
                <c:pt idx="3">
                  <c:v>42.62</c:v>
                </c:pt>
                <c:pt idx="4">
                  <c:v>47.1</c:v>
                </c:pt>
                <c:pt idx="5">
                  <c:v>25.15</c:v>
                </c:pt>
                <c:pt idx="6">
                  <c:v>35.58</c:v>
                </c:pt>
                <c:pt idx="7">
                  <c:v>29.29</c:v>
                </c:pt>
                <c:pt idx="8">
                  <c:v>30.19</c:v>
                </c:pt>
                <c:pt idx="9">
                  <c:v>34.08</c:v>
                </c:pt>
                <c:pt idx="10">
                  <c:v>31.39</c:v>
                </c:pt>
                <c:pt idx="11">
                  <c:v>32.79</c:v>
                </c:pt>
                <c:pt idx="12">
                  <c:v>29.04</c:v>
                </c:pt>
                <c:pt idx="13">
                  <c:v>39.619999999999997</c:v>
                </c:pt>
                <c:pt idx="14">
                  <c:v>31.2</c:v>
                </c:pt>
                <c:pt idx="15">
                  <c:v>27.4</c:v>
                </c:pt>
                <c:pt idx="16">
                  <c:v>26.88</c:v>
                </c:pt>
                <c:pt idx="17">
                  <c:v>36</c:v>
                </c:pt>
                <c:pt idx="18">
                  <c:v>43.03</c:v>
                </c:pt>
                <c:pt idx="19" formatCode="0.00">
                  <c:v>32.955114667590472</c:v>
                </c:pt>
                <c:pt idx="20" formatCode="0.00">
                  <c:v>32.053967048903004</c:v>
                </c:pt>
                <c:pt idx="21" formatCode="0.00">
                  <c:v>27.820704451267392</c:v>
                </c:pt>
                <c:pt idx="22" formatCode="0.00">
                  <c:v>32.034588679704264</c:v>
                </c:pt>
              </c:numCache>
            </c:numRef>
          </c:xVal>
          <c:yVal>
            <c:numRef>
              <c:f>coprrelaciones!$L$4:$L$26</c:f>
              <c:numCache>
                <c:formatCode>General</c:formatCode>
                <c:ptCount val="23"/>
                <c:pt idx="0">
                  <c:v>19.805</c:v>
                </c:pt>
                <c:pt idx="1">
                  <c:v>17.074999999999999</c:v>
                </c:pt>
                <c:pt idx="2">
                  <c:v>17.690000000000001</c:v>
                </c:pt>
                <c:pt idx="3">
                  <c:v>23.675000000000001</c:v>
                </c:pt>
                <c:pt idx="4">
                  <c:v>26.574999999999999</c:v>
                </c:pt>
                <c:pt idx="5">
                  <c:v>18.810000000000002</c:v>
                </c:pt>
                <c:pt idx="6">
                  <c:v>23.265000000000001</c:v>
                </c:pt>
                <c:pt idx="7">
                  <c:v>21.695</c:v>
                </c:pt>
                <c:pt idx="8">
                  <c:v>17.045000000000002</c:v>
                </c:pt>
                <c:pt idx="9">
                  <c:v>20.434999999999999</c:v>
                </c:pt>
                <c:pt idx="10">
                  <c:v>17.914999999999999</c:v>
                </c:pt>
                <c:pt idx="11">
                  <c:v>18.18</c:v>
                </c:pt>
                <c:pt idx="12">
                  <c:v>17.645</c:v>
                </c:pt>
                <c:pt idx="13">
                  <c:v>20.490000000000002</c:v>
                </c:pt>
                <c:pt idx="14">
                  <c:v>16.225000000000001</c:v>
                </c:pt>
                <c:pt idx="15">
                  <c:v>15.29</c:v>
                </c:pt>
                <c:pt idx="16">
                  <c:v>14.445</c:v>
                </c:pt>
                <c:pt idx="17">
                  <c:v>13.705</c:v>
                </c:pt>
                <c:pt idx="18">
                  <c:v>22.37</c:v>
                </c:pt>
                <c:pt idx="19">
                  <c:v>27.573308198025668</c:v>
                </c:pt>
                <c:pt idx="20">
                  <c:v>15.382416930769482</c:v>
                </c:pt>
                <c:pt idx="21">
                  <c:v>18.208863235742221</c:v>
                </c:pt>
                <c:pt idx="22">
                  <c:v>15.089813275703385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CEB-4962-97CF-32F679027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2959135"/>
        <c:axId val="982958655"/>
      </c:scatterChart>
      <c:valAx>
        <c:axId val="982959135"/>
        <c:scaling>
          <c:orientation val="minMax"/>
          <c:min val="25"/>
        </c:scaling>
        <c:delete val="0"/>
        <c:axPos val="b"/>
        <c:numFmt formatCode="General" sourceLinked="1"/>
        <c:majorTickMark val="out"/>
        <c:minorTickMark val="none"/>
        <c:tickLblPos val="nextTo"/>
        <c:crossAx val="982958655"/>
        <c:crosses val="autoZero"/>
        <c:crossBetween val="midCat"/>
      </c:valAx>
      <c:valAx>
        <c:axId val="982958655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82959135"/>
        <c:crosses val="autoZero"/>
        <c:crossBetween val="midCat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Scatter Plot - N-S-Ba vs POP III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>
              <a:noFill/>
            </a:ln>
          </c:spPr>
          <c:trendline>
            <c:name>Linear (Series1)</c:name>
            <c:trendlineType val="linear"/>
            <c:dispRSqr val="0"/>
            <c:dispEq val="0"/>
          </c:trendline>
          <c:xVal>
            <c:numRef>
              <c:f>coprrelaciones!$W$4:$W$26</c:f>
              <c:numCache>
                <c:formatCode>General</c:formatCode>
                <c:ptCount val="23"/>
                <c:pt idx="0">
                  <c:v>130.22</c:v>
                </c:pt>
                <c:pt idx="1">
                  <c:v>128.88999999999999</c:v>
                </c:pt>
                <c:pt idx="2">
                  <c:v>118.07</c:v>
                </c:pt>
                <c:pt idx="3">
                  <c:v>131.84</c:v>
                </c:pt>
                <c:pt idx="4">
                  <c:v>140.83000000000001</c:v>
                </c:pt>
                <c:pt idx="5">
                  <c:v>120.64</c:v>
                </c:pt>
                <c:pt idx="6">
                  <c:v>136.80000000000001</c:v>
                </c:pt>
                <c:pt idx="7">
                  <c:v>125.02</c:v>
                </c:pt>
                <c:pt idx="8">
                  <c:v>131.46</c:v>
                </c:pt>
                <c:pt idx="9">
                  <c:v>124.96</c:v>
                </c:pt>
                <c:pt idx="10">
                  <c:v>136.18</c:v>
                </c:pt>
                <c:pt idx="11">
                  <c:v>131.4</c:v>
                </c:pt>
                <c:pt idx="12">
                  <c:v>127.16</c:v>
                </c:pt>
                <c:pt idx="13">
                  <c:v>117.68</c:v>
                </c:pt>
                <c:pt idx="14">
                  <c:v>122.34</c:v>
                </c:pt>
                <c:pt idx="15">
                  <c:v>131.01</c:v>
                </c:pt>
                <c:pt idx="16">
                  <c:v>125.48</c:v>
                </c:pt>
                <c:pt idx="17">
                  <c:v>129.19</c:v>
                </c:pt>
                <c:pt idx="18">
                  <c:v>133.79</c:v>
                </c:pt>
                <c:pt idx="19">
                  <c:v>127.82</c:v>
                </c:pt>
                <c:pt idx="20">
                  <c:v>127.17</c:v>
                </c:pt>
                <c:pt idx="21">
                  <c:v>133.35</c:v>
                </c:pt>
                <c:pt idx="22">
                  <c:v>123.47</c:v>
                </c:pt>
              </c:numCache>
            </c:numRef>
          </c:xVal>
          <c:yVal>
            <c:numRef>
              <c:f>coprrelaciones!$V$4:$V$26</c:f>
              <c:numCache>
                <c:formatCode>General</c:formatCode>
                <c:ptCount val="23"/>
                <c:pt idx="0">
                  <c:v>18.204999999999998</c:v>
                </c:pt>
                <c:pt idx="1">
                  <c:v>16.924999999999997</c:v>
                </c:pt>
                <c:pt idx="2">
                  <c:v>17.155000000000001</c:v>
                </c:pt>
                <c:pt idx="3">
                  <c:v>10.905000000000001</c:v>
                </c:pt>
                <c:pt idx="4">
                  <c:v>25.314999999999998</c:v>
                </c:pt>
                <c:pt idx="5">
                  <c:v>12.47</c:v>
                </c:pt>
                <c:pt idx="6">
                  <c:v>20.655000000000001</c:v>
                </c:pt>
                <c:pt idx="7">
                  <c:v>7.93</c:v>
                </c:pt>
                <c:pt idx="8">
                  <c:v>19.215</c:v>
                </c:pt>
                <c:pt idx="9">
                  <c:v>19.475000000000001</c:v>
                </c:pt>
                <c:pt idx="10">
                  <c:v>12.015000000000001</c:v>
                </c:pt>
                <c:pt idx="11">
                  <c:v>16.355</c:v>
                </c:pt>
                <c:pt idx="12">
                  <c:v>18.560000000000002</c:v>
                </c:pt>
                <c:pt idx="13">
                  <c:v>12.515000000000001</c:v>
                </c:pt>
                <c:pt idx="14">
                  <c:v>5.99</c:v>
                </c:pt>
                <c:pt idx="15">
                  <c:v>19.364999999999998</c:v>
                </c:pt>
                <c:pt idx="16">
                  <c:v>11.14</c:v>
                </c:pt>
                <c:pt idx="17">
                  <c:v>15.434999999999999</c:v>
                </c:pt>
                <c:pt idx="18">
                  <c:v>18.685000000000002</c:v>
                </c:pt>
                <c:pt idx="19">
                  <c:v>15.19</c:v>
                </c:pt>
                <c:pt idx="20">
                  <c:v>18.57</c:v>
                </c:pt>
                <c:pt idx="21">
                  <c:v>17.239999999999998</c:v>
                </c:pt>
                <c:pt idx="22">
                  <c:v>10.83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E98-4FBA-B871-7B6124483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2951935"/>
        <c:axId val="982952415"/>
      </c:scatterChart>
      <c:valAx>
        <c:axId val="9829519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82952415"/>
        <c:crosses val="autoZero"/>
        <c:crossBetween val="midCat"/>
      </c:valAx>
      <c:valAx>
        <c:axId val="982952415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82951935"/>
        <c:crosses val="autoZero"/>
        <c:crossBetween val="midCat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Scatter Plot - APDI vs POP III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>
              <a:noFill/>
            </a:ln>
          </c:spPr>
          <c:trendline>
            <c:name>Linear (Series1)</c:name>
            <c:trendlineType val="linear"/>
            <c:dispRSqr val="0"/>
            <c:dispEq val="0"/>
          </c:trendline>
          <c:xVal>
            <c:numRef>
              <c:f>coprrelaciones!$X$4:$X$26</c:f>
              <c:numCache>
                <c:formatCode>General</c:formatCode>
                <c:ptCount val="23"/>
                <c:pt idx="0">
                  <c:v>87.83</c:v>
                </c:pt>
                <c:pt idx="1">
                  <c:v>102.87</c:v>
                </c:pt>
                <c:pt idx="2">
                  <c:v>96.24</c:v>
                </c:pt>
                <c:pt idx="3">
                  <c:v>93.49</c:v>
                </c:pt>
                <c:pt idx="4">
                  <c:v>88.4</c:v>
                </c:pt>
                <c:pt idx="5">
                  <c:v>103.13</c:v>
                </c:pt>
                <c:pt idx="6">
                  <c:v>94.39</c:v>
                </c:pt>
                <c:pt idx="7">
                  <c:v>108.46</c:v>
                </c:pt>
                <c:pt idx="8">
                  <c:v>93.2</c:v>
                </c:pt>
                <c:pt idx="9">
                  <c:v>89.34</c:v>
                </c:pt>
                <c:pt idx="10">
                  <c:v>89.71</c:v>
                </c:pt>
                <c:pt idx="11">
                  <c:v>89.36</c:v>
                </c:pt>
                <c:pt idx="12">
                  <c:v>90.61</c:v>
                </c:pt>
                <c:pt idx="13">
                  <c:v>92.07</c:v>
                </c:pt>
                <c:pt idx="14">
                  <c:v>101.04</c:v>
                </c:pt>
                <c:pt idx="15">
                  <c:v>88.68</c:v>
                </c:pt>
                <c:pt idx="16">
                  <c:v>95.04</c:v>
                </c:pt>
                <c:pt idx="17">
                  <c:v>100.27</c:v>
                </c:pt>
                <c:pt idx="18">
                  <c:v>102.32</c:v>
                </c:pt>
                <c:pt idx="19">
                  <c:v>96.68</c:v>
                </c:pt>
                <c:pt idx="20">
                  <c:v>93.8</c:v>
                </c:pt>
                <c:pt idx="21">
                  <c:v>90.92</c:v>
                </c:pt>
                <c:pt idx="22">
                  <c:v>89.25</c:v>
                </c:pt>
              </c:numCache>
            </c:numRef>
          </c:xVal>
          <c:yVal>
            <c:numRef>
              <c:f>coprrelaciones!$V$4:$V$26</c:f>
              <c:numCache>
                <c:formatCode>General</c:formatCode>
                <c:ptCount val="23"/>
                <c:pt idx="0">
                  <c:v>18.204999999999998</c:v>
                </c:pt>
                <c:pt idx="1">
                  <c:v>16.924999999999997</c:v>
                </c:pt>
                <c:pt idx="2">
                  <c:v>17.155000000000001</c:v>
                </c:pt>
                <c:pt idx="3">
                  <c:v>10.905000000000001</c:v>
                </c:pt>
                <c:pt idx="4">
                  <c:v>25.314999999999998</c:v>
                </c:pt>
                <c:pt idx="5">
                  <c:v>12.47</c:v>
                </c:pt>
                <c:pt idx="6">
                  <c:v>20.655000000000001</c:v>
                </c:pt>
                <c:pt idx="7">
                  <c:v>7.93</c:v>
                </c:pt>
                <c:pt idx="8">
                  <c:v>19.215</c:v>
                </c:pt>
                <c:pt idx="9">
                  <c:v>19.475000000000001</c:v>
                </c:pt>
                <c:pt idx="10">
                  <c:v>12.015000000000001</c:v>
                </c:pt>
                <c:pt idx="11">
                  <c:v>16.355</c:v>
                </c:pt>
                <c:pt idx="12">
                  <c:v>18.560000000000002</c:v>
                </c:pt>
                <c:pt idx="13">
                  <c:v>12.515000000000001</c:v>
                </c:pt>
                <c:pt idx="14">
                  <c:v>5.99</c:v>
                </c:pt>
                <c:pt idx="15">
                  <c:v>19.364999999999998</c:v>
                </c:pt>
                <c:pt idx="16">
                  <c:v>11.14</c:v>
                </c:pt>
                <c:pt idx="17">
                  <c:v>15.434999999999999</c:v>
                </c:pt>
                <c:pt idx="18">
                  <c:v>18.685000000000002</c:v>
                </c:pt>
                <c:pt idx="19">
                  <c:v>15.19</c:v>
                </c:pt>
                <c:pt idx="20">
                  <c:v>18.57</c:v>
                </c:pt>
                <c:pt idx="21">
                  <c:v>17.239999999999998</c:v>
                </c:pt>
                <c:pt idx="22">
                  <c:v>10.83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BFE-46FA-8206-6CAF85F065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2951935"/>
        <c:axId val="982963935"/>
      </c:scatterChart>
      <c:valAx>
        <c:axId val="982951935"/>
        <c:scaling>
          <c:orientation val="minMax"/>
          <c:min val="85"/>
        </c:scaling>
        <c:delete val="0"/>
        <c:axPos val="b"/>
        <c:numFmt formatCode="General" sourceLinked="1"/>
        <c:majorTickMark val="out"/>
        <c:minorTickMark val="none"/>
        <c:tickLblPos val="nextTo"/>
        <c:crossAx val="982963935"/>
        <c:crosses val="autoZero"/>
        <c:crossBetween val="midCat"/>
      </c:valAx>
      <c:valAx>
        <c:axId val="982963935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82951935"/>
        <c:crosses val="autoZero"/>
        <c:crossBetween val="midCat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Scatter Plot - ANB* vs POP III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>
              <a:noFill/>
            </a:ln>
          </c:spPr>
          <c:trendline>
            <c:name>Linear (Series1)</c:name>
            <c:trendlineType val="linear"/>
            <c:dispRSqr val="0"/>
            <c:dispEq val="0"/>
          </c:trendline>
          <c:xVal>
            <c:numRef>
              <c:f>coprrelaciones!$Y$4:$Y$26</c:f>
              <c:numCache>
                <c:formatCode>General</c:formatCode>
                <c:ptCount val="23"/>
                <c:pt idx="0">
                  <c:v>4.01</c:v>
                </c:pt>
                <c:pt idx="1">
                  <c:v>3.06</c:v>
                </c:pt>
                <c:pt idx="2">
                  <c:v>6.07</c:v>
                </c:pt>
                <c:pt idx="3">
                  <c:v>4.87</c:v>
                </c:pt>
                <c:pt idx="4">
                  <c:v>4.3499999999999996</c:v>
                </c:pt>
                <c:pt idx="5">
                  <c:v>4.4800000000000004</c:v>
                </c:pt>
                <c:pt idx="6">
                  <c:v>1.06</c:v>
                </c:pt>
                <c:pt idx="7">
                  <c:v>6.62</c:v>
                </c:pt>
                <c:pt idx="8">
                  <c:v>2.52</c:v>
                </c:pt>
                <c:pt idx="9">
                  <c:v>3.97</c:v>
                </c:pt>
                <c:pt idx="10">
                  <c:v>4.87</c:v>
                </c:pt>
                <c:pt idx="11">
                  <c:v>1.78</c:v>
                </c:pt>
                <c:pt idx="12">
                  <c:v>1.71</c:v>
                </c:pt>
                <c:pt idx="13">
                  <c:v>2.39</c:v>
                </c:pt>
                <c:pt idx="14">
                  <c:v>3.03</c:v>
                </c:pt>
                <c:pt idx="15">
                  <c:v>6.73</c:v>
                </c:pt>
                <c:pt idx="16">
                  <c:v>1.26</c:v>
                </c:pt>
                <c:pt idx="17">
                  <c:v>4.2300000000000004</c:v>
                </c:pt>
                <c:pt idx="18">
                  <c:v>1.49</c:v>
                </c:pt>
                <c:pt idx="19">
                  <c:v>2.46</c:v>
                </c:pt>
                <c:pt idx="20">
                  <c:v>1.88</c:v>
                </c:pt>
                <c:pt idx="21">
                  <c:v>5.91</c:v>
                </c:pt>
                <c:pt idx="22">
                  <c:v>4.6500000000000004</c:v>
                </c:pt>
              </c:numCache>
            </c:numRef>
          </c:xVal>
          <c:yVal>
            <c:numRef>
              <c:f>coprrelaciones!$V$4:$V$26</c:f>
              <c:numCache>
                <c:formatCode>General</c:formatCode>
                <c:ptCount val="23"/>
                <c:pt idx="0">
                  <c:v>18.204999999999998</c:v>
                </c:pt>
                <c:pt idx="1">
                  <c:v>16.924999999999997</c:v>
                </c:pt>
                <c:pt idx="2">
                  <c:v>17.155000000000001</c:v>
                </c:pt>
                <c:pt idx="3">
                  <c:v>10.905000000000001</c:v>
                </c:pt>
                <c:pt idx="4">
                  <c:v>25.314999999999998</c:v>
                </c:pt>
                <c:pt idx="5">
                  <c:v>12.47</c:v>
                </c:pt>
                <c:pt idx="6">
                  <c:v>20.655000000000001</c:v>
                </c:pt>
                <c:pt idx="7">
                  <c:v>7.93</c:v>
                </c:pt>
                <c:pt idx="8">
                  <c:v>19.215</c:v>
                </c:pt>
                <c:pt idx="9">
                  <c:v>19.475000000000001</c:v>
                </c:pt>
                <c:pt idx="10">
                  <c:v>12.015000000000001</c:v>
                </c:pt>
                <c:pt idx="11">
                  <c:v>16.355</c:v>
                </c:pt>
                <c:pt idx="12">
                  <c:v>18.560000000000002</c:v>
                </c:pt>
                <c:pt idx="13">
                  <c:v>12.515000000000001</c:v>
                </c:pt>
                <c:pt idx="14">
                  <c:v>5.99</c:v>
                </c:pt>
                <c:pt idx="15">
                  <c:v>19.364999999999998</c:v>
                </c:pt>
                <c:pt idx="16">
                  <c:v>11.14</c:v>
                </c:pt>
                <c:pt idx="17">
                  <c:v>15.434999999999999</c:v>
                </c:pt>
                <c:pt idx="18">
                  <c:v>18.685000000000002</c:v>
                </c:pt>
                <c:pt idx="19">
                  <c:v>15.19</c:v>
                </c:pt>
                <c:pt idx="20">
                  <c:v>18.57</c:v>
                </c:pt>
                <c:pt idx="21">
                  <c:v>17.239999999999998</c:v>
                </c:pt>
                <c:pt idx="22">
                  <c:v>10.83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1C6-4909-8585-C6A5386D0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2964415"/>
        <c:axId val="982960575"/>
      </c:scatterChart>
      <c:valAx>
        <c:axId val="9829644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82960575"/>
        <c:crosses val="autoZero"/>
        <c:crossBetween val="midCat"/>
      </c:valAx>
      <c:valAx>
        <c:axId val="982960575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82964415"/>
        <c:crosses val="autoZero"/>
        <c:crossBetween val="midCat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Scatter Plot - PP to FH vs POP III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>
              <a:noFill/>
            </a:ln>
          </c:spPr>
          <c:trendline>
            <c:name>Linear (Series1)</c:name>
            <c:trendlineType val="linear"/>
            <c:dispRSqr val="0"/>
            <c:dispEq val="0"/>
          </c:trendline>
          <c:xVal>
            <c:numRef>
              <c:f>coprrelaciones!$Z$4:$Z$26</c:f>
              <c:numCache>
                <c:formatCode>General</c:formatCode>
                <c:ptCount val="23"/>
                <c:pt idx="0">
                  <c:v>4.1100000000000003</c:v>
                </c:pt>
                <c:pt idx="1">
                  <c:v>2.82</c:v>
                </c:pt>
                <c:pt idx="2">
                  <c:v>0.79</c:v>
                </c:pt>
                <c:pt idx="3">
                  <c:v>1.95</c:v>
                </c:pt>
                <c:pt idx="4">
                  <c:v>3.23</c:v>
                </c:pt>
                <c:pt idx="5">
                  <c:v>1.84</c:v>
                </c:pt>
                <c:pt idx="6">
                  <c:v>2.96</c:v>
                </c:pt>
                <c:pt idx="7">
                  <c:v>3.32</c:v>
                </c:pt>
                <c:pt idx="8">
                  <c:v>1.27</c:v>
                </c:pt>
                <c:pt idx="9">
                  <c:v>1.38</c:v>
                </c:pt>
                <c:pt idx="10">
                  <c:v>2.58</c:v>
                </c:pt>
                <c:pt idx="11">
                  <c:v>0.18</c:v>
                </c:pt>
                <c:pt idx="12">
                  <c:v>0.57999999999999996</c:v>
                </c:pt>
                <c:pt idx="13">
                  <c:v>2.63</c:v>
                </c:pt>
                <c:pt idx="14">
                  <c:v>3.98</c:v>
                </c:pt>
                <c:pt idx="15">
                  <c:v>0.19</c:v>
                </c:pt>
                <c:pt idx="16">
                  <c:v>1.47</c:v>
                </c:pt>
                <c:pt idx="17">
                  <c:v>4.88</c:v>
                </c:pt>
                <c:pt idx="18">
                  <c:v>10.44</c:v>
                </c:pt>
                <c:pt idx="19">
                  <c:v>2.8</c:v>
                </c:pt>
                <c:pt idx="20">
                  <c:v>3.43</c:v>
                </c:pt>
                <c:pt idx="21">
                  <c:v>0.42</c:v>
                </c:pt>
                <c:pt idx="22">
                  <c:v>1.08</c:v>
                </c:pt>
              </c:numCache>
            </c:numRef>
          </c:xVal>
          <c:yVal>
            <c:numRef>
              <c:f>coprrelaciones!$V$4:$V$26</c:f>
              <c:numCache>
                <c:formatCode>General</c:formatCode>
                <c:ptCount val="23"/>
                <c:pt idx="0">
                  <c:v>18.204999999999998</c:v>
                </c:pt>
                <c:pt idx="1">
                  <c:v>16.924999999999997</c:v>
                </c:pt>
                <c:pt idx="2">
                  <c:v>17.155000000000001</c:v>
                </c:pt>
                <c:pt idx="3">
                  <c:v>10.905000000000001</c:v>
                </c:pt>
                <c:pt idx="4">
                  <c:v>25.314999999999998</c:v>
                </c:pt>
                <c:pt idx="5">
                  <c:v>12.47</c:v>
                </c:pt>
                <c:pt idx="6">
                  <c:v>20.655000000000001</c:v>
                </c:pt>
                <c:pt idx="7">
                  <c:v>7.93</c:v>
                </c:pt>
                <c:pt idx="8">
                  <c:v>19.215</c:v>
                </c:pt>
                <c:pt idx="9">
                  <c:v>19.475000000000001</c:v>
                </c:pt>
                <c:pt idx="10">
                  <c:v>12.015000000000001</c:v>
                </c:pt>
                <c:pt idx="11">
                  <c:v>16.355</c:v>
                </c:pt>
                <c:pt idx="12">
                  <c:v>18.560000000000002</c:v>
                </c:pt>
                <c:pt idx="13">
                  <c:v>12.515000000000001</c:v>
                </c:pt>
                <c:pt idx="14">
                  <c:v>5.99</c:v>
                </c:pt>
                <c:pt idx="15">
                  <c:v>19.364999999999998</c:v>
                </c:pt>
                <c:pt idx="16">
                  <c:v>11.14</c:v>
                </c:pt>
                <c:pt idx="17">
                  <c:v>15.434999999999999</c:v>
                </c:pt>
                <c:pt idx="18">
                  <c:v>18.685000000000002</c:v>
                </c:pt>
                <c:pt idx="19">
                  <c:v>15.19</c:v>
                </c:pt>
                <c:pt idx="20">
                  <c:v>18.57</c:v>
                </c:pt>
                <c:pt idx="21">
                  <c:v>17.239999999999998</c:v>
                </c:pt>
                <c:pt idx="22">
                  <c:v>10.83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6B1-4F14-BAF3-762F7A3CB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2959135"/>
        <c:axId val="982964415"/>
      </c:scatterChart>
      <c:valAx>
        <c:axId val="982959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82964415"/>
        <c:crosses val="autoZero"/>
        <c:crossBetween val="midCat"/>
      </c:valAx>
      <c:valAx>
        <c:axId val="982964415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82959135"/>
        <c:crosses val="autoZero"/>
        <c:crossBetween val="midCat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Scatter Plot - LFHt vs POP III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>
              <a:noFill/>
            </a:ln>
          </c:spPr>
          <c:trendline>
            <c:name>Linear (Series1)</c:name>
            <c:trendlineType val="linear"/>
            <c:dispRSqr val="0"/>
            <c:dispEq val="0"/>
          </c:trendline>
          <c:xVal>
            <c:numRef>
              <c:f>coprrelaciones!$AA$4:$AA$26</c:f>
              <c:numCache>
                <c:formatCode>General</c:formatCode>
                <c:ptCount val="23"/>
                <c:pt idx="0">
                  <c:v>50.43</c:v>
                </c:pt>
                <c:pt idx="1">
                  <c:v>45.99</c:v>
                </c:pt>
                <c:pt idx="2">
                  <c:v>44.43</c:v>
                </c:pt>
                <c:pt idx="3">
                  <c:v>49.19</c:v>
                </c:pt>
                <c:pt idx="4">
                  <c:v>48.82</c:v>
                </c:pt>
                <c:pt idx="5">
                  <c:v>45.66</c:v>
                </c:pt>
                <c:pt idx="6">
                  <c:v>44.43</c:v>
                </c:pt>
                <c:pt idx="7">
                  <c:v>48.87</c:v>
                </c:pt>
                <c:pt idx="8">
                  <c:v>45.65</c:v>
                </c:pt>
                <c:pt idx="9">
                  <c:v>49.18</c:v>
                </c:pt>
                <c:pt idx="10">
                  <c:v>43.33</c:v>
                </c:pt>
                <c:pt idx="11">
                  <c:v>46.27</c:v>
                </c:pt>
                <c:pt idx="12">
                  <c:v>49.36</c:v>
                </c:pt>
                <c:pt idx="13">
                  <c:v>49.71</c:v>
                </c:pt>
                <c:pt idx="14">
                  <c:v>47.38</c:v>
                </c:pt>
                <c:pt idx="15">
                  <c:v>47.45</c:v>
                </c:pt>
                <c:pt idx="16">
                  <c:v>47.64</c:v>
                </c:pt>
                <c:pt idx="17">
                  <c:v>45.82</c:v>
                </c:pt>
                <c:pt idx="18">
                  <c:v>46.79</c:v>
                </c:pt>
                <c:pt idx="19">
                  <c:v>51.21</c:v>
                </c:pt>
                <c:pt idx="20">
                  <c:v>51.33</c:v>
                </c:pt>
                <c:pt idx="21">
                  <c:v>49.75</c:v>
                </c:pt>
                <c:pt idx="22">
                  <c:v>45.8</c:v>
                </c:pt>
              </c:numCache>
            </c:numRef>
          </c:xVal>
          <c:yVal>
            <c:numRef>
              <c:f>coprrelaciones!$V$4:$V$26</c:f>
              <c:numCache>
                <c:formatCode>General</c:formatCode>
                <c:ptCount val="23"/>
                <c:pt idx="0">
                  <c:v>18.204999999999998</c:v>
                </c:pt>
                <c:pt idx="1">
                  <c:v>16.924999999999997</c:v>
                </c:pt>
                <c:pt idx="2">
                  <c:v>17.155000000000001</c:v>
                </c:pt>
                <c:pt idx="3">
                  <c:v>10.905000000000001</c:v>
                </c:pt>
                <c:pt idx="4">
                  <c:v>25.314999999999998</c:v>
                </c:pt>
                <c:pt idx="5">
                  <c:v>12.47</c:v>
                </c:pt>
                <c:pt idx="6">
                  <c:v>20.655000000000001</c:v>
                </c:pt>
                <c:pt idx="7">
                  <c:v>7.93</c:v>
                </c:pt>
                <c:pt idx="8">
                  <c:v>19.215</c:v>
                </c:pt>
                <c:pt idx="9">
                  <c:v>19.475000000000001</c:v>
                </c:pt>
                <c:pt idx="10">
                  <c:v>12.015000000000001</c:v>
                </c:pt>
                <c:pt idx="11">
                  <c:v>16.355</c:v>
                </c:pt>
                <c:pt idx="12">
                  <c:v>18.560000000000002</c:v>
                </c:pt>
                <c:pt idx="13">
                  <c:v>12.515000000000001</c:v>
                </c:pt>
                <c:pt idx="14">
                  <c:v>5.99</c:v>
                </c:pt>
                <c:pt idx="15">
                  <c:v>19.364999999999998</c:v>
                </c:pt>
                <c:pt idx="16">
                  <c:v>11.14</c:v>
                </c:pt>
                <c:pt idx="17">
                  <c:v>15.434999999999999</c:v>
                </c:pt>
                <c:pt idx="18">
                  <c:v>18.685000000000002</c:v>
                </c:pt>
                <c:pt idx="19">
                  <c:v>15.19</c:v>
                </c:pt>
                <c:pt idx="20">
                  <c:v>18.57</c:v>
                </c:pt>
                <c:pt idx="21">
                  <c:v>17.239999999999998</c:v>
                </c:pt>
                <c:pt idx="22">
                  <c:v>10.83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6FF-4534-B5DF-EC2EFCAC5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2976975"/>
        <c:axId val="982978415"/>
      </c:scatterChart>
      <c:valAx>
        <c:axId val="9829769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82978415"/>
        <c:crosses val="autoZero"/>
        <c:crossBetween val="midCat"/>
      </c:valAx>
      <c:valAx>
        <c:axId val="982978415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82976975"/>
        <c:crosses val="autoZero"/>
        <c:crossBetween val="midCat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Scatter Plot - FMA(MP-FH) Ang_2D vs POP III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>
              <a:noFill/>
            </a:ln>
          </c:spPr>
          <c:trendline>
            <c:name>Linear (Series1)</c:name>
            <c:trendlineType val="linear"/>
            <c:dispRSqr val="0"/>
            <c:dispEq val="0"/>
          </c:trendline>
          <c:xVal>
            <c:numRef>
              <c:f>coprrelaciones!$AB$4:$AB$26</c:f>
              <c:numCache>
                <c:formatCode>General</c:formatCode>
                <c:ptCount val="23"/>
                <c:pt idx="0">
                  <c:v>28.6</c:v>
                </c:pt>
                <c:pt idx="1">
                  <c:v>27.24</c:v>
                </c:pt>
                <c:pt idx="2">
                  <c:v>27.65</c:v>
                </c:pt>
                <c:pt idx="3">
                  <c:v>28.1</c:v>
                </c:pt>
                <c:pt idx="4">
                  <c:v>34.36</c:v>
                </c:pt>
                <c:pt idx="5">
                  <c:v>28.52</c:v>
                </c:pt>
                <c:pt idx="6">
                  <c:v>28.55</c:v>
                </c:pt>
                <c:pt idx="7">
                  <c:v>31.91</c:v>
                </c:pt>
                <c:pt idx="8">
                  <c:v>36.979999999999997</c:v>
                </c:pt>
                <c:pt idx="9">
                  <c:v>32.5</c:v>
                </c:pt>
                <c:pt idx="10">
                  <c:v>30.94</c:v>
                </c:pt>
                <c:pt idx="11">
                  <c:v>31.21</c:v>
                </c:pt>
                <c:pt idx="12">
                  <c:v>26.72</c:v>
                </c:pt>
                <c:pt idx="13">
                  <c:v>31.62</c:v>
                </c:pt>
                <c:pt idx="14">
                  <c:v>29.21</c:v>
                </c:pt>
                <c:pt idx="15">
                  <c:v>29.55</c:v>
                </c:pt>
                <c:pt idx="16">
                  <c:v>29.67</c:v>
                </c:pt>
                <c:pt idx="17">
                  <c:v>28.26</c:v>
                </c:pt>
                <c:pt idx="18">
                  <c:v>33.08</c:v>
                </c:pt>
                <c:pt idx="19">
                  <c:v>31.96</c:v>
                </c:pt>
                <c:pt idx="20">
                  <c:v>34.82</c:v>
                </c:pt>
                <c:pt idx="21">
                  <c:v>32.909999999999997</c:v>
                </c:pt>
                <c:pt idx="22">
                  <c:v>27.59</c:v>
                </c:pt>
              </c:numCache>
            </c:numRef>
          </c:xVal>
          <c:yVal>
            <c:numRef>
              <c:f>coprrelaciones!$V$4:$V$26</c:f>
              <c:numCache>
                <c:formatCode>General</c:formatCode>
                <c:ptCount val="23"/>
                <c:pt idx="0">
                  <c:v>18.204999999999998</c:v>
                </c:pt>
                <c:pt idx="1">
                  <c:v>16.924999999999997</c:v>
                </c:pt>
                <c:pt idx="2">
                  <c:v>17.155000000000001</c:v>
                </c:pt>
                <c:pt idx="3">
                  <c:v>10.905000000000001</c:v>
                </c:pt>
                <c:pt idx="4">
                  <c:v>25.314999999999998</c:v>
                </c:pt>
                <c:pt idx="5">
                  <c:v>12.47</c:v>
                </c:pt>
                <c:pt idx="6">
                  <c:v>20.655000000000001</c:v>
                </c:pt>
                <c:pt idx="7">
                  <c:v>7.93</c:v>
                </c:pt>
                <c:pt idx="8">
                  <c:v>19.215</c:v>
                </c:pt>
                <c:pt idx="9">
                  <c:v>19.475000000000001</c:v>
                </c:pt>
                <c:pt idx="10">
                  <c:v>12.015000000000001</c:v>
                </c:pt>
                <c:pt idx="11">
                  <c:v>16.355</c:v>
                </c:pt>
                <c:pt idx="12">
                  <c:v>18.560000000000002</c:v>
                </c:pt>
                <c:pt idx="13">
                  <c:v>12.515000000000001</c:v>
                </c:pt>
                <c:pt idx="14">
                  <c:v>5.99</c:v>
                </c:pt>
                <c:pt idx="15">
                  <c:v>19.364999999999998</c:v>
                </c:pt>
                <c:pt idx="16">
                  <c:v>11.14</c:v>
                </c:pt>
                <c:pt idx="17">
                  <c:v>15.434999999999999</c:v>
                </c:pt>
                <c:pt idx="18">
                  <c:v>18.685000000000002</c:v>
                </c:pt>
                <c:pt idx="19">
                  <c:v>15.19</c:v>
                </c:pt>
                <c:pt idx="20">
                  <c:v>18.57</c:v>
                </c:pt>
                <c:pt idx="21">
                  <c:v>17.239999999999998</c:v>
                </c:pt>
                <c:pt idx="22">
                  <c:v>10.83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5BE-423E-8D70-721F568E0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2973615"/>
        <c:axId val="982968815"/>
      </c:scatterChart>
      <c:valAx>
        <c:axId val="982973615"/>
        <c:scaling>
          <c:orientation val="minMax"/>
          <c:min val="25"/>
        </c:scaling>
        <c:delete val="0"/>
        <c:axPos val="b"/>
        <c:numFmt formatCode="General" sourceLinked="1"/>
        <c:majorTickMark val="out"/>
        <c:minorTickMark val="none"/>
        <c:tickLblPos val="nextTo"/>
        <c:crossAx val="982968815"/>
        <c:crosses val="autoZero"/>
        <c:crossBetween val="midCat"/>
      </c:valAx>
      <c:valAx>
        <c:axId val="982968815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82973615"/>
        <c:crosses val="autoZero"/>
        <c:crossBetween val="midCat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Scatter Plot - APDI vs POP I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>
              <a:noFill/>
            </a:ln>
          </c:spPr>
          <c:trendline>
            <c:name>Linear (Series1)</c:name>
            <c:trendlineType val="linear"/>
            <c:dispRSqr val="0"/>
            <c:dispEq val="0"/>
          </c:trendline>
          <c:xVal>
            <c:numRef>
              <c:f>coprrelaciones!$D$4:$D$26</c:f>
              <c:numCache>
                <c:formatCode>General</c:formatCode>
                <c:ptCount val="23"/>
                <c:pt idx="0">
                  <c:v>84.37</c:v>
                </c:pt>
                <c:pt idx="1">
                  <c:v>83.62</c:v>
                </c:pt>
                <c:pt idx="2">
                  <c:v>85.88</c:v>
                </c:pt>
                <c:pt idx="3">
                  <c:v>83.35</c:v>
                </c:pt>
                <c:pt idx="4">
                  <c:v>86.17</c:v>
                </c:pt>
                <c:pt idx="5">
                  <c:v>86.64</c:v>
                </c:pt>
                <c:pt idx="6">
                  <c:v>86.43</c:v>
                </c:pt>
                <c:pt idx="7">
                  <c:v>83.02</c:v>
                </c:pt>
                <c:pt idx="8">
                  <c:v>85.24</c:v>
                </c:pt>
                <c:pt idx="9">
                  <c:v>84.16</c:v>
                </c:pt>
                <c:pt idx="10">
                  <c:v>84.66</c:v>
                </c:pt>
                <c:pt idx="11">
                  <c:v>84.47</c:v>
                </c:pt>
                <c:pt idx="12">
                  <c:v>83.34</c:v>
                </c:pt>
                <c:pt idx="13">
                  <c:v>89.2</c:v>
                </c:pt>
                <c:pt idx="14">
                  <c:v>84.03</c:v>
                </c:pt>
                <c:pt idx="15">
                  <c:v>88.39</c:v>
                </c:pt>
                <c:pt idx="16">
                  <c:v>85.6</c:v>
                </c:pt>
                <c:pt idx="17">
                  <c:v>83.65</c:v>
                </c:pt>
                <c:pt idx="18">
                  <c:v>87.16</c:v>
                </c:pt>
                <c:pt idx="19">
                  <c:v>84.02</c:v>
                </c:pt>
                <c:pt idx="20">
                  <c:v>87.31</c:v>
                </c:pt>
                <c:pt idx="21">
                  <c:v>84.11</c:v>
                </c:pt>
                <c:pt idx="22">
                  <c:v>86.51</c:v>
                </c:pt>
              </c:numCache>
            </c:numRef>
          </c:xVal>
          <c:yVal>
            <c:numRef>
              <c:f>coprrelaciones!$B$4:$B$26</c:f>
              <c:numCache>
                <c:formatCode>General</c:formatCode>
                <c:ptCount val="23"/>
                <c:pt idx="0">
                  <c:v>8.875</c:v>
                </c:pt>
                <c:pt idx="1">
                  <c:v>10.98</c:v>
                </c:pt>
                <c:pt idx="2">
                  <c:v>12.61</c:v>
                </c:pt>
                <c:pt idx="3">
                  <c:v>11.805</c:v>
                </c:pt>
                <c:pt idx="4">
                  <c:v>24.545000000000002</c:v>
                </c:pt>
                <c:pt idx="5">
                  <c:v>24.3</c:v>
                </c:pt>
                <c:pt idx="6">
                  <c:v>14.760000000000002</c:v>
                </c:pt>
                <c:pt idx="7">
                  <c:v>10.76</c:v>
                </c:pt>
                <c:pt idx="8">
                  <c:v>18.774999999999999</c:v>
                </c:pt>
                <c:pt idx="9">
                  <c:v>14.074999999999999</c:v>
                </c:pt>
                <c:pt idx="10">
                  <c:v>18.46</c:v>
                </c:pt>
                <c:pt idx="11">
                  <c:v>17.425000000000001</c:v>
                </c:pt>
                <c:pt idx="12">
                  <c:v>18.274999999999999</c:v>
                </c:pt>
                <c:pt idx="13">
                  <c:v>17.54</c:v>
                </c:pt>
                <c:pt idx="14">
                  <c:v>19.555</c:v>
                </c:pt>
                <c:pt idx="15">
                  <c:v>22.25</c:v>
                </c:pt>
                <c:pt idx="16">
                  <c:v>21.765000000000001</c:v>
                </c:pt>
                <c:pt idx="17">
                  <c:v>22.950000000000003</c:v>
                </c:pt>
                <c:pt idx="18">
                  <c:v>23.765000000000001</c:v>
                </c:pt>
                <c:pt idx="19">
                  <c:v>16.63</c:v>
                </c:pt>
                <c:pt idx="20">
                  <c:v>22.3</c:v>
                </c:pt>
                <c:pt idx="21">
                  <c:v>16.990000000000002</c:v>
                </c:pt>
                <c:pt idx="22">
                  <c:v>15.83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94D-446D-95D2-5C9F5B51C5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7994207"/>
        <c:axId val="867994687"/>
      </c:scatterChart>
      <c:valAx>
        <c:axId val="8679942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67994687"/>
        <c:crosses val="autoZero"/>
        <c:crossBetween val="midCat"/>
      </c:valAx>
      <c:valAx>
        <c:axId val="867994687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67994207"/>
        <c:crosses val="autoZero"/>
        <c:crossBetween val="midCat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Scatter Plot - ANB* vs POP I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>
              <a:noFill/>
            </a:ln>
          </c:spPr>
          <c:trendline>
            <c:name>Linear (Series1)</c:name>
            <c:trendlineType val="linear"/>
            <c:dispRSqr val="0"/>
            <c:dispEq val="0"/>
          </c:trendline>
          <c:xVal>
            <c:numRef>
              <c:f>coprrelaciones!$E$4:$E$26</c:f>
              <c:numCache>
                <c:formatCode>General</c:formatCode>
                <c:ptCount val="23"/>
                <c:pt idx="0">
                  <c:v>2.67</c:v>
                </c:pt>
                <c:pt idx="1">
                  <c:v>3.9</c:v>
                </c:pt>
                <c:pt idx="2">
                  <c:v>3.11</c:v>
                </c:pt>
                <c:pt idx="3">
                  <c:v>2.93</c:v>
                </c:pt>
                <c:pt idx="4">
                  <c:v>4.12</c:v>
                </c:pt>
                <c:pt idx="5">
                  <c:v>4.83</c:v>
                </c:pt>
                <c:pt idx="6">
                  <c:v>5.69</c:v>
                </c:pt>
                <c:pt idx="7">
                  <c:v>1.92</c:v>
                </c:pt>
                <c:pt idx="8">
                  <c:v>0.56000000000000005</c:v>
                </c:pt>
                <c:pt idx="9">
                  <c:v>2.66</c:v>
                </c:pt>
                <c:pt idx="10">
                  <c:v>4.5199999999999996</c:v>
                </c:pt>
                <c:pt idx="11">
                  <c:v>4.07</c:v>
                </c:pt>
                <c:pt idx="12">
                  <c:v>3.18</c:v>
                </c:pt>
                <c:pt idx="13">
                  <c:v>3.56</c:v>
                </c:pt>
                <c:pt idx="14">
                  <c:v>5.3</c:v>
                </c:pt>
                <c:pt idx="15">
                  <c:v>2.0699999999999998</c:v>
                </c:pt>
                <c:pt idx="16">
                  <c:v>4.3600000000000003</c:v>
                </c:pt>
                <c:pt idx="17">
                  <c:v>5.84</c:v>
                </c:pt>
                <c:pt idx="18">
                  <c:v>4.17</c:v>
                </c:pt>
                <c:pt idx="19">
                  <c:v>3.69</c:v>
                </c:pt>
                <c:pt idx="20">
                  <c:v>5.22</c:v>
                </c:pt>
                <c:pt idx="21">
                  <c:v>4.16</c:v>
                </c:pt>
                <c:pt idx="22">
                  <c:v>3.97</c:v>
                </c:pt>
              </c:numCache>
            </c:numRef>
          </c:xVal>
          <c:yVal>
            <c:numRef>
              <c:f>coprrelaciones!$B$4:$B$26</c:f>
              <c:numCache>
                <c:formatCode>General</c:formatCode>
                <c:ptCount val="23"/>
                <c:pt idx="0">
                  <c:v>8.875</c:v>
                </c:pt>
                <c:pt idx="1">
                  <c:v>10.98</c:v>
                </c:pt>
                <c:pt idx="2">
                  <c:v>12.61</c:v>
                </c:pt>
                <c:pt idx="3">
                  <c:v>11.805</c:v>
                </c:pt>
                <c:pt idx="4">
                  <c:v>24.545000000000002</c:v>
                </c:pt>
                <c:pt idx="5">
                  <c:v>24.3</c:v>
                </c:pt>
                <c:pt idx="6">
                  <c:v>14.760000000000002</c:v>
                </c:pt>
                <c:pt idx="7">
                  <c:v>10.76</c:v>
                </c:pt>
                <c:pt idx="8">
                  <c:v>18.774999999999999</c:v>
                </c:pt>
                <c:pt idx="9">
                  <c:v>14.074999999999999</c:v>
                </c:pt>
                <c:pt idx="10">
                  <c:v>18.46</c:v>
                </c:pt>
                <c:pt idx="11">
                  <c:v>17.425000000000001</c:v>
                </c:pt>
                <c:pt idx="12">
                  <c:v>18.274999999999999</c:v>
                </c:pt>
                <c:pt idx="13">
                  <c:v>17.54</c:v>
                </c:pt>
                <c:pt idx="14">
                  <c:v>19.555</c:v>
                </c:pt>
                <c:pt idx="15">
                  <c:v>22.25</c:v>
                </c:pt>
                <c:pt idx="16">
                  <c:v>21.765000000000001</c:v>
                </c:pt>
                <c:pt idx="17">
                  <c:v>22.950000000000003</c:v>
                </c:pt>
                <c:pt idx="18">
                  <c:v>23.765000000000001</c:v>
                </c:pt>
                <c:pt idx="19">
                  <c:v>16.63</c:v>
                </c:pt>
                <c:pt idx="20">
                  <c:v>22.3</c:v>
                </c:pt>
                <c:pt idx="21">
                  <c:v>16.990000000000002</c:v>
                </c:pt>
                <c:pt idx="22">
                  <c:v>15.83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EEE-4572-B167-B14261965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7994207"/>
        <c:axId val="867995167"/>
      </c:scatterChart>
      <c:valAx>
        <c:axId val="8679942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67995167"/>
        <c:crosses val="autoZero"/>
        <c:crossBetween val="midCat"/>
      </c:valAx>
      <c:valAx>
        <c:axId val="867995167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67994207"/>
        <c:crosses val="autoZero"/>
        <c:crossBetween val="midCat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Scatter Plot - PP to FH vs POP I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>
              <a:noFill/>
            </a:ln>
          </c:spPr>
          <c:trendline>
            <c:name>Linear (Series1)</c:name>
            <c:trendlineType val="linear"/>
            <c:dispRSqr val="0"/>
            <c:dispEq val="0"/>
          </c:trendline>
          <c:xVal>
            <c:numRef>
              <c:f>coprrelaciones!$F$4:$F$26</c:f>
              <c:numCache>
                <c:formatCode>General</c:formatCode>
                <c:ptCount val="23"/>
                <c:pt idx="0">
                  <c:v>2.08</c:v>
                </c:pt>
                <c:pt idx="1">
                  <c:v>2.33</c:v>
                </c:pt>
                <c:pt idx="2">
                  <c:v>-3.34</c:v>
                </c:pt>
                <c:pt idx="3">
                  <c:v>4.5199999999999996</c:v>
                </c:pt>
                <c:pt idx="4">
                  <c:v>-9.98</c:v>
                </c:pt>
                <c:pt idx="5">
                  <c:v>0.08</c:v>
                </c:pt>
                <c:pt idx="6">
                  <c:v>2.34</c:v>
                </c:pt>
                <c:pt idx="7">
                  <c:v>4.33</c:v>
                </c:pt>
                <c:pt idx="8">
                  <c:v>1.63</c:v>
                </c:pt>
                <c:pt idx="9">
                  <c:v>3.91</c:v>
                </c:pt>
                <c:pt idx="10">
                  <c:v>1.35</c:v>
                </c:pt>
                <c:pt idx="11">
                  <c:v>4.21</c:v>
                </c:pt>
                <c:pt idx="12">
                  <c:v>3.9</c:v>
                </c:pt>
                <c:pt idx="13">
                  <c:v>2.0099999999999998</c:v>
                </c:pt>
                <c:pt idx="14">
                  <c:v>1.61</c:v>
                </c:pt>
                <c:pt idx="15">
                  <c:v>3.46</c:v>
                </c:pt>
                <c:pt idx="16">
                  <c:v>0.09</c:v>
                </c:pt>
                <c:pt idx="17">
                  <c:v>0.37</c:v>
                </c:pt>
                <c:pt idx="18">
                  <c:v>1.78</c:v>
                </c:pt>
                <c:pt idx="19">
                  <c:v>-0.28000000000000003</c:v>
                </c:pt>
                <c:pt idx="20">
                  <c:v>-2.5299999999999998</c:v>
                </c:pt>
                <c:pt idx="21">
                  <c:v>0.28000000000000003</c:v>
                </c:pt>
                <c:pt idx="22">
                  <c:v>5.51</c:v>
                </c:pt>
              </c:numCache>
            </c:numRef>
          </c:xVal>
          <c:yVal>
            <c:numRef>
              <c:f>coprrelaciones!$B$4:$B$26</c:f>
              <c:numCache>
                <c:formatCode>General</c:formatCode>
                <c:ptCount val="23"/>
                <c:pt idx="0">
                  <c:v>8.875</c:v>
                </c:pt>
                <c:pt idx="1">
                  <c:v>10.98</c:v>
                </c:pt>
                <c:pt idx="2">
                  <c:v>12.61</c:v>
                </c:pt>
                <c:pt idx="3">
                  <c:v>11.805</c:v>
                </c:pt>
                <c:pt idx="4">
                  <c:v>24.545000000000002</c:v>
                </c:pt>
                <c:pt idx="5">
                  <c:v>24.3</c:v>
                </c:pt>
                <c:pt idx="6">
                  <c:v>14.760000000000002</c:v>
                </c:pt>
                <c:pt idx="7">
                  <c:v>10.76</c:v>
                </c:pt>
                <c:pt idx="8">
                  <c:v>18.774999999999999</c:v>
                </c:pt>
                <c:pt idx="9">
                  <c:v>14.074999999999999</c:v>
                </c:pt>
                <c:pt idx="10">
                  <c:v>18.46</c:v>
                </c:pt>
                <c:pt idx="11">
                  <c:v>17.425000000000001</c:v>
                </c:pt>
                <c:pt idx="12">
                  <c:v>18.274999999999999</c:v>
                </c:pt>
                <c:pt idx="13">
                  <c:v>17.54</c:v>
                </c:pt>
                <c:pt idx="14">
                  <c:v>19.555</c:v>
                </c:pt>
                <c:pt idx="15">
                  <c:v>22.25</c:v>
                </c:pt>
                <c:pt idx="16">
                  <c:v>21.765000000000001</c:v>
                </c:pt>
                <c:pt idx="17">
                  <c:v>22.950000000000003</c:v>
                </c:pt>
                <c:pt idx="18">
                  <c:v>23.765000000000001</c:v>
                </c:pt>
                <c:pt idx="19">
                  <c:v>16.63</c:v>
                </c:pt>
                <c:pt idx="20">
                  <c:v>22.3</c:v>
                </c:pt>
                <c:pt idx="21">
                  <c:v>16.990000000000002</c:v>
                </c:pt>
                <c:pt idx="22">
                  <c:v>15.83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FB7-4598-8446-A5798686F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9419999"/>
        <c:axId val="869423839"/>
      </c:scatterChart>
      <c:valAx>
        <c:axId val="8694199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69423839"/>
        <c:crosses val="autoZero"/>
        <c:crossBetween val="midCat"/>
      </c:valAx>
      <c:valAx>
        <c:axId val="869423839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69419999"/>
        <c:crosses val="autoZero"/>
        <c:crossBetween val="midCat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Scatter Plot - LFHt vs POP I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>
              <a:noFill/>
            </a:ln>
          </c:spPr>
          <c:trendline>
            <c:name>Linear (Series1)</c:name>
            <c:trendlineType val="linear"/>
            <c:dispRSqr val="0"/>
            <c:dispEq val="0"/>
          </c:trendline>
          <c:xVal>
            <c:numRef>
              <c:f>coprrelaciones!$G$4:$G$26</c:f>
              <c:numCache>
                <c:formatCode>General</c:formatCode>
                <c:ptCount val="23"/>
                <c:pt idx="0">
                  <c:v>43.43</c:v>
                </c:pt>
                <c:pt idx="1">
                  <c:v>48.35</c:v>
                </c:pt>
                <c:pt idx="2">
                  <c:v>43.7</c:v>
                </c:pt>
                <c:pt idx="3">
                  <c:v>46.69</c:v>
                </c:pt>
                <c:pt idx="4">
                  <c:v>43.87</c:v>
                </c:pt>
                <c:pt idx="5">
                  <c:v>47.11</c:v>
                </c:pt>
                <c:pt idx="6">
                  <c:v>43.1</c:v>
                </c:pt>
                <c:pt idx="7">
                  <c:v>46.11</c:v>
                </c:pt>
                <c:pt idx="8">
                  <c:v>43.93</c:v>
                </c:pt>
                <c:pt idx="9">
                  <c:v>48.82</c:v>
                </c:pt>
                <c:pt idx="10">
                  <c:v>44.57</c:v>
                </c:pt>
                <c:pt idx="11">
                  <c:v>48.23</c:v>
                </c:pt>
                <c:pt idx="12">
                  <c:v>47.85</c:v>
                </c:pt>
                <c:pt idx="13">
                  <c:v>47.01</c:v>
                </c:pt>
                <c:pt idx="14">
                  <c:v>45.75</c:v>
                </c:pt>
                <c:pt idx="15">
                  <c:v>43.62</c:v>
                </c:pt>
                <c:pt idx="16">
                  <c:v>43.88</c:v>
                </c:pt>
                <c:pt idx="17">
                  <c:v>44.39</c:v>
                </c:pt>
                <c:pt idx="18">
                  <c:v>45.33</c:v>
                </c:pt>
                <c:pt idx="19">
                  <c:v>47.56</c:v>
                </c:pt>
                <c:pt idx="20">
                  <c:v>46.65</c:v>
                </c:pt>
                <c:pt idx="21">
                  <c:v>45.16</c:v>
                </c:pt>
                <c:pt idx="22">
                  <c:v>43.15</c:v>
                </c:pt>
              </c:numCache>
            </c:numRef>
          </c:xVal>
          <c:yVal>
            <c:numRef>
              <c:f>coprrelaciones!$B$4:$B$26</c:f>
              <c:numCache>
                <c:formatCode>General</c:formatCode>
                <c:ptCount val="23"/>
                <c:pt idx="0">
                  <c:v>8.875</c:v>
                </c:pt>
                <c:pt idx="1">
                  <c:v>10.98</c:v>
                </c:pt>
                <c:pt idx="2">
                  <c:v>12.61</c:v>
                </c:pt>
                <c:pt idx="3">
                  <c:v>11.805</c:v>
                </c:pt>
                <c:pt idx="4">
                  <c:v>24.545000000000002</c:v>
                </c:pt>
                <c:pt idx="5">
                  <c:v>24.3</c:v>
                </c:pt>
                <c:pt idx="6">
                  <c:v>14.760000000000002</c:v>
                </c:pt>
                <c:pt idx="7">
                  <c:v>10.76</c:v>
                </c:pt>
                <c:pt idx="8">
                  <c:v>18.774999999999999</c:v>
                </c:pt>
                <c:pt idx="9">
                  <c:v>14.074999999999999</c:v>
                </c:pt>
                <c:pt idx="10">
                  <c:v>18.46</c:v>
                </c:pt>
                <c:pt idx="11">
                  <c:v>17.425000000000001</c:v>
                </c:pt>
                <c:pt idx="12">
                  <c:v>18.274999999999999</c:v>
                </c:pt>
                <c:pt idx="13">
                  <c:v>17.54</c:v>
                </c:pt>
                <c:pt idx="14">
                  <c:v>19.555</c:v>
                </c:pt>
                <c:pt idx="15">
                  <c:v>22.25</c:v>
                </c:pt>
                <c:pt idx="16">
                  <c:v>21.765000000000001</c:v>
                </c:pt>
                <c:pt idx="17">
                  <c:v>22.950000000000003</c:v>
                </c:pt>
                <c:pt idx="18">
                  <c:v>23.765000000000001</c:v>
                </c:pt>
                <c:pt idx="19">
                  <c:v>16.63</c:v>
                </c:pt>
                <c:pt idx="20">
                  <c:v>22.3</c:v>
                </c:pt>
                <c:pt idx="21">
                  <c:v>16.990000000000002</c:v>
                </c:pt>
                <c:pt idx="22">
                  <c:v>15.83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24F-4953-87D6-35914FBCF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9418079"/>
        <c:axId val="869417599"/>
      </c:scatterChart>
      <c:valAx>
        <c:axId val="8694180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69417599"/>
        <c:crosses val="autoZero"/>
        <c:crossBetween val="midCat"/>
      </c:valAx>
      <c:valAx>
        <c:axId val="869417599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69418079"/>
        <c:crosses val="autoZero"/>
        <c:crossBetween val="midCat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Scatter Plot - FMA(MP-FH) Ang_2D vs POP I (p&lt;0,05)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>
              <a:noFill/>
            </a:ln>
          </c:spPr>
          <c:trendline>
            <c:name>Linear (Series1)</c:name>
            <c:trendlineType val="linear"/>
            <c:dispRSqr val="0"/>
            <c:dispEq val="0"/>
          </c:trendline>
          <c:xVal>
            <c:numRef>
              <c:f>coprrelaciones!$H$4:$H$26</c:f>
              <c:numCache>
                <c:formatCode>General</c:formatCode>
                <c:ptCount val="23"/>
                <c:pt idx="0">
                  <c:v>25.41</c:v>
                </c:pt>
                <c:pt idx="1">
                  <c:v>26.68</c:v>
                </c:pt>
                <c:pt idx="2">
                  <c:v>25.38</c:v>
                </c:pt>
                <c:pt idx="3">
                  <c:v>24.72</c:v>
                </c:pt>
                <c:pt idx="4">
                  <c:v>27.8</c:v>
                </c:pt>
                <c:pt idx="5">
                  <c:v>30.15</c:v>
                </c:pt>
                <c:pt idx="6">
                  <c:v>23.78</c:v>
                </c:pt>
                <c:pt idx="7">
                  <c:v>24.75</c:v>
                </c:pt>
                <c:pt idx="8">
                  <c:v>24.78</c:v>
                </c:pt>
                <c:pt idx="9">
                  <c:v>23.14</c:v>
                </c:pt>
                <c:pt idx="10">
                  <c:v>24.27</c:v>
                </c:pt>
                <c:pt idx="11">
                  <c:v>24.39</c:v>
                </c:pt>
                <c:pt idx="12">
                  <c:v>26.61</c:v>
                </c:pt>
                <c:pt idx="13">
                  <c:v>32.619999999999997</c:v>
                </c:pt>
                <c:pt idx="14">
                  <c:v>24.94</c:v>
                </c:pt>
                <c:pt idx="15">
                  <c:v>25.11</c:v>
                </c:pt>
                <c:pt idx="16">
                  <c:v>24.97</c:v>
                </c:pt>
                <c:pt idx="17">
                  <c:v>27.18</c:v>
                </c:pt>
                <c:pt idx="18">
                  <c:v>25.86</c:v>
                </c:pt>
                <c:pt idx="19">
                  <c:v>26.88</c:v>
                </c:pt>
                <c:pt idx="20">
                  <c:v>33.04</c:v>
                </c:pt>
                <c:pt idx="21">
                  <c:v>23.91</c:v>
                </c:pt>
                <c:pt idx="22">
                  <c:v>24.19</c:v>
                </c:pt>
              </c:numCache>
            </c:numRef>
          </c:xVal>
          <c:yVal>
            <c:numRef>
              <c:f>coprrelaciones!$B$4:$B$26</c:f>
              <c:numCache>
                <c:formatCode>General</c:formatCode>
                <c:ptCount val="23"/>
                <c:pt idx="0">
                  <c:v>8.875</c:v>
                </c:pt>
                <c:pt idx="1">
                  <c:v>10.98</c:v>
                </c:pt>
                <c:pt idx="2">
                  <c:v>12.61</c:v>
                </c:pt>
                <c:pt idx="3">
                  <c:v>11.805</c:v>
                </c:pt>
                <c:pt idx="4">
                  <c:v>24.545000000000002</c:v>
                </c:pt>
                <c:pt idx="5">
                  <c:v>24.3</c:v>
                </c:pt>
                <c:pt idx="6">
                  <c:v>14.760000000000002</c:v>
                </c:pt>
                <c:pt idx="7">
                  <c:v>10.76</c:v>
                </c:pt>
                <c:pt idx="8">
                  <c:v>18.774999999999999</c:v>
                </c:pt>
                <c:pt idx="9">
                  <c:v>14.074999999999999</c:v>
                </c:pt>
                <c:pt idx="10">
                  <c:v>18.46</c:v>
                </c:pt>
                <c:pt idx="11">
                  <c:v>17.425000000000001</c:v>
                </c:pt>
                <c:pt idx="12">
                  <c:v>18.274999999999999</c:v>
                </c:pt>
                <c:pt idx="13">
                  <c:v>17.54</c:v>
                </c:pt>
                <c:pt idx="14">
                  <c:v>19.555</c:v>
                </c:pt>
                <c:pt idx="15">
                  <c:v>22.25</c:v>
                </c:pt>
                <c:pt idx="16">
                  <c:v>21.765000000000001</c:v>
                </c:pt>
                <c:pt idx="17">
                  <c:v>22.950000000000003</c:v>
                </c:pt>
                <c:pt idx="18">
                  <c:v>23.765000000000001</c:v>
                </c:pt>
                <c:pt idx="19">
                  <c:v>16.63</c:v>
                </c:pt>
                <c:pt idx="20">
                  <c:v>22.3</c:v>
                </c:pt>
                <c:pt idx="21">
                  <c:v>16.990000000000002</c:v>
                </c:pt>
                <c:pt idx="22">
                  <c:v>15.83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B6E-43D5-9FD7-DED107721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9423359"/>
        <c:axId val="869420479"/>
      </c:scatterChart>
      <c:valAx>
        <c:axId val="869423359"/>
        <c:scaling>
          <c:orientation val="minMax"/>
          <c:min val="20"/>
        </c:scaling>
        <c:delete val="0"/>
        <c:axPos val="b"/>
        <c:numFmt formatCode="General" sourceLinked="1"/>
        <c:majorTickMark val="out"/>
        <c:minorTickMark val="none"/>
        <c:tickLblPos val="nextTo"/>
        <c:crossAx val="869420479"/>
        <c:crosses val="autoZero"/>
        <c:crossBetween val="midCat"/>
      </c:valAx>
      <c:valAx>
        <c:axId val="869420479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69423359"/>
        <c:crosses val="autoZero"/>
        <c:crossBetween val="midCat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Scatter Plot - N-S-Ba vs POP II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>
              <a:noFill/>
            </a:ln>
          </c:spPr>
          <c:trendline>
            <c:name>Linear (Series1)</c:name>
            <c:trendlineType val="linear"/>
            <c:dispRSqr val="0"/>
            <c:dispEq val="0"/>
          </c:trendline>
          <c:xVal>
            <c:numRef>
              <c:f>coprrelaciones!$M$4:$M$26</c:f>
              <c:numCache>
                <c:formatCode>General</c:formatCode>
                <c:ptCount val="23"/>
                <c:pt idx="0">
                  <c:v>131.99</c:v>
                </c:pt>
                <c:pt idx="1">
                  <c:v>129.13999999999999</c:v>
                </c:pt>
                <c:pt idx="2">
                  <c:v>132.02000000000001</c:v>
                </c:pt>
                <c:pt idx="3">
                  <c:v>131.43</c:v>
                </c:pt>
                <c:pt idx="4">
                  <c:v>121.85</c:v>
                </c:pt>
                <c:pt idx="5">
                  <c:v>137.77000000000001</c:v>
                </c:pt>
                <c:pt idx="6">
                  <c:v>128.91</c:v>
                </c:pt>
                <c:pt idx="7">
                  <c:v>133.69999999999999</c:v>
                </c:pt>
                <c:pt idx="8">
                  <c:v>133.44</c:v>
                </c:pt>
                <c:pt idx="9">
                  <c:v>135.12</c:v>
                </c:pt>
                <c:pt idx="10">
                  <c:v>121.28</c:v>
                </c:pt>
                <c:pt idx="11">
                  <c:v>129.83000000000001</c:v>
                </c:pt>
                <c:pt idx="12">
                  <c:v>136.54</c:v>
                </c:pt>
                <c:pt idx="13">
                  <c:v>125.82</c:v>
                </c:pt>
                <c:pt idx="14">
                  <c:v>126.29</c:v>
                </c:pt>
                <c:pt idx="15">
                  <c:v>126.22</c:v>
                </c:pt>
                <c:pt idx="16">
                  <c:v>137.27000000000001</c:v>
                </c:pt>
                <c:pt idx="17">
                  <c:v>131.52000000000001</c:v>
                </c:pt>
                <c:pt idx="18">
                  <c:v>127.51</c:v>
                </c:pt>
                <c:pt idx="19" formatCode="0.00">
                  <c:v>138.15383332762181</c:v>
                </c:pt>
                <c:pt idx="20" formatCode="0.00">
                  <c:v>129.06494508524389</c:v>
                </c:pt>
                <c:pt idx="21" formatCode="0.00">
                  <c:v>133.00454705685257</c:v>
                </c:pt>
                <c:pt idx="22" formatCode="0.00">
                  <c:v>131.19891840504582</c:v>
                </c:pt>
              </c:numCache>
            </c:numRef>
          </c:xVal>
          <c:yVal>
            <c:numRef>
              <c:f>coprrelaciones!$L$4:$L$26</c:f>
              <c:numCache>
                <c:formatCode>General</c:formatCode>
                <c:ptCount val="23"/>
                <c:pt idx="0">
                  <c:v>19.805</c:v>
                </c:pt>
                <c:pt idx="1">
                  <c:v>17.074999999999999</c:v>
                </c:pt>
                <c:pt idx="2">
                  <c:v>17.690000000000001</c:v>
                </c:pt>
                <c:pt idx="3">
                  <c:v>23.675000000000001</c:v>
                </c:pt>
                <c:pt idx="4">
                  <c:v>26.574999999999999</c:v>
                </c:pt>
                <c:pt idx="5">
                  <c:v>18.810000000000002</c:v>
                </c:pt>
                <c:pt idx="6">
                  <c:v>23.265000000000001</c:v>
                </c:pt>
                <c:pt idx="7">
                  <c:v>21.695</c:v>
                </c:pt>
                <c:pt idx="8">
                  <c:v>17.045000000000002</c:v>
                </c:pt>
                <c:pt idx="9">
                  <c:v>20.434999999999999</c:v>
                </c:pt>
                <c:pt idx="10">
                  <c:v>17.914999999999999</c:v>
                </c:pt>
                <c:pt idx="11">
                  <c:v>18.18</c:v>
                </c:pt>
                <c:pt idx="12">
                  <c:v>17.645</c:v>
                </c:pt>
                <c:pt idx="13">
                  <c:v>20.490000000000002</c:v>
                </c:pt>
                <c:pt idx="14">
                  <c:v>16.225000000000001</c:v>
                </c:pt>
                <c:pt idx="15">
                  <c:v>15.29</c:v>
                </c:pt>
                <c:pt idx="16">
                  <c:v>14.445</c:v>
                </c:pt>
                <c:pt idx="17">
                  <c:v>13.705</c:v>
                </c:pt>
                <c:pt idx="18">
                  <c:v>22.37</c:v>
                </c:pt>
                <c:pt idx="19">
                  <c:v>27.573308198025668</c:v>
                </c:pt>
                <c:pt idx="20">
                  <c:v>15.382416930769482</c:v>
                </c:pt>
                <c:pt idx="21">
                  <c:v>18.208863235742221</c:v>
                </c:pt>
                <c:pt idx="22">
                  <c:v>15.089813275703385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131-4BCC-970D-75206A45E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7543695"/>
        <c:axId val="1017545615"/>
      </c:scatterChart>
      <c:valAx>
        <c:axId val="10175436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17545615"/>
        <c:crosses val="autoZero"/>
        <c:crossBetween val="midCat"/>
      </c:valAx>
      <c:valAx>
        <c:axId val="1017545615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17543695"/>
        <c:crosses val="autoZero"/>
        <c:crossBetween val="midCat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Scatter Plot - APDI vs POP II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>
              <a:noFill/>
            </a:ln>
          </c:spPr>
          <c:trendline>
            <c:name>Linear (Series1)</c:name>
            <c:trendlineType val="linear"/>
            <c:dispRSqr val="0"/>
            <c:dispEq val="0"/>
          </c:trendline>
          <c:xVal>
            <c:numRef>
              <c:f>coprrelaciones!$N$4:$N$26</c:f>
              <c:numCache>
                <c:formatCode>General</c:formatCode>
                <c:ptCount val="23"/>
                <c:pt idx="0">
                  <c:v>74.510000000000005</c:v>
                </c:pt>
                <c:pt idx="1">
                  <c:v>71.81</c:v>
                </c:pt>
                <c:pt idx="2">
                  <c:v>70.150000000000006</c:v>
                </c:pt>
                <c:pt idx="3">
                  <c:v>71.510000000000005</c:v>
                </c:pt>
                <c:pt idx="4">
                  <c:v>72.430000000000007</c:v>
                </c:pt>
                <c:pt idx="5">
                  <c:v>72.53</c:v>
                </c:pt>
                <c:pt idx="6">
                  <c:v>72.290000000000006</c:v>
                </c:pt>
                <c:pt idx="7">
                  <c:v>72.2</c:v>
                </c:pt>
                <c:pt idx="8">
                  <c:v>74.260000000000005</c:v>
                </c:pt>
                <c:pt idx="9">
                  <c:v>74.61</c:v>
                </c:pt>
                <c:pt idx="10">
                  <c:v>71.650000000000006</c:v>
                </c:pt>
                <c:pt idx="11">
                  <c:v>73.37</c:v>
                </c:pt>
                <c:pt idx="12">
                  <c:v>72.989999999999995</c:v>
                </c:pt>
                <c:pt idx="13">
                  <c:v>71.180000000000007</c:v>
                </c:pt>
                <c:pt idx="14">
                  <c:v>75.34</c:v>
                </c:pt>
                <c:pt idx="15">
                  <c:v>73.3</c:v>
                </c:pt>
                <c:pt idx="16">
                  <c:v>73.510000000000005</c:v>
                </c:pt>
                <c:pt idx="17">
                  <c:v>67.86</c:v>
                </c:pt>
                <c:pt idx="18">
                  <c:v>70.92</c:v>
                </c:pt>
                <c:pt idx="19" formatCode="0.00">
                  <c:v>69.363383994012565</c:v>
                </c:pt>
                <c:pt idx="20" formatCode="0.00">
                  <c:v>73.296494376296508</c:v>
                </c:pt>
                <c:pt idx="21" formatCode="0.00">
                  <c:v>72.45330120301945</c:v>
                </c:pt>
                <c:pt idx="22" formatCode="0.00">
                  <c:v>70.448775074385523</c:v>
                </c:pt>
              </c:numCache>
            </c:numRef>
          </c:xVal>
          <c:yVal>
            <c:numRef>
              <c:f>coprrelaciones!$L$4:$L$26</c:f>
              <c:numCache>
                <c:formatCode>General</c:formatCode>
                <c:ptCount val="23"/>
                <c:pt idx="0">
                  <c:v>19.805</c:v>
                </c:pt>
                <c:pt idx="1">
                  <c:v>17.074999999999999</c:v>
                </c:pt>
                <c:pt idx="2">
                  <c:v>17.690000000000001</c:v>
                </c:pt>
                <c:pt idx="3">
                  <c:v>23.675000000000001</c:v>
                </c:pt>
                <c:pt idx="4">
                  <c:v>26.574999999999999</c:v>
                </c:pt>
                <c:pt idx="5">
                  <c:v>18.810000000000002</c:v>
                </c:pt>
                <c:pt idx="6">
                  <c:v>23.265000000000001</c:v>
                </c:pt>
                <c:pt idx="7">
                  <c:v>21.695</c:v>
                </c:pt>
                <c:pt idx="8">
                  <c:v>17.045000000000002</c:v>
                </c:pt>
                <c:pt idx="9">
                  <c:v>20.434999999999999</c:v>
                </c:pt>
                <c:pt idx="10">
                  <c:v>17.914999999999999</c:v>
                </c:pt>
                <c:pt idx="11">
                  <c:v>18.18</c:v>
                </c:pt>
                <c:pt idx="12">
                  <c:v>17.645</c:v>
                </c:pt>
                <c:pt idx="13">
                  <c:v>20.490000000000002</c:v>
                </c:pt>
                <c:pt idx="14">
                  <c:v>16.225000000000001</c:v>
                </c:pt>
                <c:pt idx="15">
                  <c:v>15.29</c:v>
                </c:pt>
                <c:pt idx="16">
                  <c:v>14.445</c:v>
                </c:pt>
                <c:pt idx="17">
                  <c:v>13.705</c:v>
                </c:pt>
                <c:pt idx="18">
                  <c:v>22.37</c:v>
                </c:pt>
                <c:pt idx="19">
                  <c:v>27.573308198025668</c:v>
                </c:pt>
                <c:pt idx="20">
                  <c:v>15.382416930769482</c:v>
                </c:pt>
                <c:pt idx="21">
                  <c:v>18.208863235742221</c:v>
                </c:pt>
                <c:pt idx="22">
                  <c:v>15.089813275703385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1DB-4AB2-9169-AC2F6FBDB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7538415"/>
        <c:axId val="1017539375"/>
      </c:scatterChart>
      <c:valAx>
        <c:axId val="10175384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17539375"/>
        <c:crosses val="autoZero"/>
        <c:crossBetween val="midCat"/>
      </c:valAx>
      <c:valAx>
        <c:axId val="1017539375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17538415"/>
        <c:crosses val="autoZero"/>
        <c:crossBetween val="midCat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Scatter Plot - ANB* vs POP II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>
              <a:noFill/>
            </a:ln>
          </c:spPr>
          <c:trendline>
            <c:name>Linear (Series1)</c:name>
            <c:trendlineType val="linear"/>
            <c:dispRSqr val="0"/>
            <c:dispEq val="0"/>
          </c:trendline>
          <c:xVal>
            <c:numRef>
              <c:f>coprrelaciones!$O$4:$O$26</c:f>
              <c:numCache>
                <c:formatCode>General</c:formatCode>
                <c:ptCount val="23"/>
                <c:pt idx="0">
                  <c:v>5.89</c:v>
                </c:pt>
                <c:pt idx="1">
                  <c:v>6.02</c:v>
                </c:pt>
                <c:pt idx="2">
                  <c:v>7.89</c:v>
                </c:pt>
                <c:pt idx="3">
                  <c:v>5.96</c:v>
                </c:pt>
                <c:pt idx="4">
                  <c:v>6.74</c:v>
                </c:pt>
                <c:pt idx="5">
                  <c:v>6.76</c:v>
                </c:pt>
                <c:pt idx="6">
                  <c:v>7.81</c:v>
                </c:pt>
                <c:pt idx="7">
                  <c:v>5.87</c:v>
                </c:pt>
                <c:pt idx="8">
                  <c:v>6.3</c:v>
                </c:pt>
                <c:pt idx="9">
                  <c:v>5.51</c:v>
                </c:pt>
                <c:pt idx="10">
                  <c:v>6.72</c:v>
                </c:pt>
                <c:pt idx="11">
                  <c:v>5.43</c:v>
                </c:pt>
                <c:pt idx="12">
                  <c:v>8.14</c:v>
                </c:pt>
                <c:pt idx="13">
                  <c:v>5.95</c:v>
                </c:pt>
                <c:pt idx="14">
                  <c:v>4.74</c:v>
                </c:pt>
                <c:pt idx="15">
                  <c:v>5.72</c:v>
                </c:pt>
                <c:pt idx="16">
                  <c:v>6.24</c:v>
                </c:pt>
                <c:pt idx="17">
                  <c:v>11.64</c:v>
                </c:pt>
                <c:pt idx="18">
                  <c:v>6.91</c:v>
                </c:pt>
                <c:pt idx="19" formatCode="0.00">
                  <c:v>5.8180745634743021</c:v>
                </c:pt>
                <c:pt idx="20" formatCode="0.00">
                  <c:v>6.8007635065640804</c:v>
                </c:pt>
                <c:pt idx="21" formatCode="0.00">
                  <c:v>8.7247485588402718</c:v>
                </c:pt>
                <c:pt idx="22" formatCode="0.00">
                  <c:v>7.4835796956231242</c:v>
                </c:pt>
              </c:numCache>
            </c:numRef>
          </c:xVal>
          <c:yVal>
            <c:numRef>
              <c:f>coprrelaciones!$L$4:$L$26</c:f>
              <c:numCache>
                <c:formatCode>General</c:formatCode>
                <c:ptCount val="23"/>
                <c:pt idx="0">
                  <c:v>19.805</c:v>
                </c:pt>
                <c:pt idx="1">
                  <c:v>17.074999999999999</c:v>
                </c:pt>
                <c:pt idx="2">
                  <c:v>17.690000000000001</c:v>
                </c:pt>
                <c:pt idx="3">
                  <c:v>23.675000000000001</c:v>
                </c:pt>
                <c:pt idx="4">
                  <c:v>26.574999999999999</c:v>
                </c:pt>
                <c:pt idx="5">
                  <c:v>18.810000000000002</c:v>
                </c:pt>
                <c:pt idx="6">
                  <c:v>23.265000000000001</c:v>
                </c:pt>
                <c:pt idx="7">
                  <c:v>21.695</c:v>
                </c:pt>
                <c:pt idx="8">
                  <c:v>17.045000000000002</c:v>
                </c:pt>
                <c:pt idx="9">
                  <c:v>20.434999999999999</c:v>
                </c:pt>
                <c:pt idx="10">
                  <c:v>17.914999999999999</c:v>
                </c:pt>
                <c:pt idx="11">
                  <c:v>18.18</c:v>
                </c:pt>
                <c:pt idx="12">
                  <c:v>17.645</c:v>
                </c:pt>
                <c:pt idx="13">
                  <c:v>20.490000000000002</c:v>
                </c:pt>
                <c:pt idx="14">
                  <c:v>16.225000000000001</c:v>
                </c:pt>
                <c:pt idx="15">
                  <c:v>15.29</c:v>
                </c:pt>
                <c:pt idx="16">
                  <c:v>14.445</c:v>
                </c:pt>
                <c:pt idx="17">
                  <c:v>13.705</c:v>
                </c:pt>
                <c:pt idx="18">
                  <c:v>22.37</c:v>
                </c:pt>
                <c:pt idx="19">
                  <c:v>27.573308198025668</c:v>
                </c:pt>
                <c:pt idx="20">
                  <c:v>15.382416930769482</c:v>
                </c:pt>
                <c:pt idx="21">
                  <c:v>18.208863235742221</c:v>
                </c:pt>
                <c:pt idx="22">
                  <c:v>15.089813275703385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D9A-4CD6-B319-9D86FB22AC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7540815"/>
        <c:axId val="1017543695"/>
      </c:scatterChart>
      <c:valAx>
        <c:axId val="1017540815"/>
        <c:scaling>
          <c:orientation val="minMax"/>
          <c:min val="3"/>
        </c:scaling>
        <c:delete val="0"/>
        <c:axPos val="b"/>
        <c:numFmt formatCode="General" sourceLinked="1"/>
        <c:majorTickMark val="out"/>
        <c:minorTickMark val="none"/>
        <c:tickLblPos val="nextTo"/>
        <c:crossAx val="1017543695"/>
        <c:crosses val="autoZero"/>
        <c:crossBetween val="midCat"/>
      </c:valAx>
      <c:valAx>
        <c:axId val="1017543695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17540815"/>
        <c:crosses val="autoZero"/>
        <c:crossBetween val="midCat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  <cx:data id="1">
      <cx:numDim type="val">
        <cx:f>_xlchart.v1.3</cx:f>
      </cx:numDim>
    </cx:data>
    <cx:data id="2">
      <cx:numDim type="val">
        <cx:f>_xlchart.v1.5</cx:f>
      </cx:numDim>
    </cx:data>
  </cx:chartData>
  <cx:chart>
    <cx:title pos="t" align="ctr" overlay="0">
      <cx:tx>
        <cx:txData>
          <cx:v>COMPARACIÓN N-S-Ba por Clase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s-ES" sz="1400" b="1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ptos Narrow" panose="02110004020202020204"/>
            </a:rPr>
            <a:t>COMPARACIÓN N-S-Ba por Clase</a:t>
          </a:r>
        </a:p>
      </cx:txPr>
    </cx:title>
    <cx:plotArea>
      <cx:plotAreaRegion>
        <cx:series layoutId="boxWhisker" uniqueId="{E38AB085-B461-453B-A7DA-81711E1D1F68}">
          <cx:tx>
            <cx:txData>
              <cx:f>_xlchart.v1.0</cx:f>
              <cx:v>CLASE I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41D8AA67-3175-4209-A7F6-DC351A13E172}">
          <cx:tx>
            <cx:txData>
              <cx:f>_xlchart.v1.2</cx:f>
              <cx:v>CLASE II</cx:v>
            </cx:txData>
          </cx:tx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A95841D9-4A89-4D20-A7A6-44591EE90DA3}">
          <cx:tx>
            <cx:txData>
              <cx:f>_xlchart.v1.4</cx:f>
              <cx:v>CLASE III</cx:v>
            </cx:txData>
          </cx:tx>
          <cx:dataId val="2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tle>
          <cx:tx>
            <cx:txData>
              <cx:v>p&gt;0.05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es-ES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Aptos Narrow" panose="02110004020202020204"/>
                </a:rPr>
                <a:t>p&gt;0.05</a:t>
              </a:r>
            </a:p>
          </cx:txPr>
        </cx:title>
        <cx:tickLabels/>
      </cx:axis>
      <cx:axis id="1">
        <cx:valScaling min="115"/>
        <cx:title/>
        <cx:majorGridlines/>
        <cx:tickLabels/>
      </cx:axis>
    </cx:plotArea>
    <cx:legend pos="t" align="ctr" overlay="0"/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_xlchart.v1.7</cx:f>
      </cx:numDim>
    </cx:data>
    <cx:data id="1">
      <cx:numDim type="val">
        <cx:f>_xlchart.v1.9</cx:f>
      </cx:numDim>
    </cx:data>
    <cx:data id="2">
      <cx:numDim type="val">
        <cx:f>_xlchart.v1.11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rtl="0"/>
            <a:r>
              <a:rPr lang="es-ES" sz="1400" b="1" i="0" baseline="0">
                <a:effectLst/>
              </a:rPr>
              <a:t>COMPARACIÓN POP por Clase</a:t>
            </a:r>
            <a:endParaRPr lang="es-CO" sz="1400" b="1">
              <a:effectLst/>
            </a:endParaRPr>
          </a:p>
        </cx:rich>
      </cx:tx>
    </cx:title>
    <cx:plotArea>
      <cx:plotAreaRegion>
        <cx:series layoutId="boxWhisker" uniqueId="{AE153DFF-4CE0-40DC-A05A-2066F7E13F5F}">
          <cx:tx>
            <cx:txData>
              <cx:f>_xlchart.v1.6</cx:f>
              <cx:v>CLASE I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0C4C094D-8AEC-45C8-A6DD-A7B6FA325A77}">
          <cx:tx>
            <cx:txData>
              <cx:f>_xlchart.v1.8</cx:f>
              <cx:v>CLASE II</cx:v>
            </cx:txData>
          </cx:tx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70EB00D0-AE61-4BEB-8297-F1756ED02FFB}">
          <cx:tx>
            <cx:txData>
              <cx:f>_xlchart.v1.10</cx:f>
              <cx:v>CLASE III</cx:v>
            </cx:txData>
          </cx:tx>
          <cx:dataId val="2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tle>
          <cx:tx>
            <cx:txData>
              <cx:v>p&lt;0,05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es-ES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Aptos Narrow" panose="02110004020202020204"/>
                </a:rPr>
                <a:t>p&lt;0,05</a:t>
              </a:r>
            </a:p>
          </cx:txPr>
        </cx:title>
        <cx:tickLabels/>
      </cx:axis>
      <cx:axis id="1">
        <cx:valScaling min="5"/>
        <cx:title/>
        <cx:majorGridlines/>
        <cx:tickLabels/>
      </cx:axis>
    </cx:plotArea>
    <cx:legend pos="t" align="ctr" overlay="0"/>
  </cx:chart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_xlchart.v1.13</cx:f>
      </cx:numDim>
    </cx:data>
    <cx:data id="1">
      <cx:numDim type="val">
        <cx:f>_xlchart.v1.15</cx:f>
      </cx:numDim>
    </cx:data>
    <cx:data id="2">
      <cx:numDim type="val">
        <cx:f>_xlchart.v1.17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rtl="0"/>
            <a:r>
              <a:rPr lang="es-ES" sz="1400" b="1" i="0" baseline="0">
                <a:effectLst/>
              </a:rPr>
              <a:t>COMPARACIÓN APDI por Clase</a:t>
            </a:r>
            <a:endParaRPr lang="es-CO" sz="1400" b="1">
              <a:effectLst/>
            </a:endParaRPr>
          </a:p>
        </cx:rich>
      </cx:tx>
    </cx:title>
    <cx:plotArea>
      <cx:plotAreaRegion>
        <cx:series layoutId="boxWhisker" uniqueId="{95E20D2E-B275-4A4B-8D50-0186A8377EC7}">
          <cx:tx>
            <cx:txData>
              <cx:f>_xlchart.v1.12</cx:f>
              <cx:v>CLASE I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C89565D5-88B1-4A9C-8BB3-D4B6E78A8231}">
          <cx:tx>
            <cx:txData>
              <cx:f>_xlchart.v1.14</cx:f>
              <cx:v>CLASE II</cx:v>
            </cx:txData>
          </cx:tx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9D843897-3E23-4CFF-9348-4DA19172C4E7}">
          <cx:tx>
            <cx:txData>
              <cx:f>_xlchart.v1.16</cx:f>
              <cx:v>CLASE III</cx:v>
            </cx:txData>
          </cx:tx>
          <cx:dataId val="2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tle>
          <cx:tx>
            <cx:txData>
              <cx:v>p&lt;0,05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es-ES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Aptos Narrow" panose="02110004020202020204"/>
                </a:rPr>
                <a:t>p&lt;0,05</a:t>
              </a:r>
            </a:p>
          </cx:txPr>
        </cx:title>
        <cx:tickLabels/>
      </cx:axis>
      <cx:axis id="1">
        <cx:valScaling min="65"/>
        <cx:title>
          <cx:tx>
            <cx:txData>
              <cx:v>xxxx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es-ES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Aptos Narrow" panose="02110004020202020204"/>
                </a:rPr>
                <a:t>xxxx</a:t>
              </a:r>
            </a:p>
          </cx:txPr>
        </cx:title>
        <cx:majorGridlines/>
        <cx:tickLabels/>
      </cx:axis>
    </cx:plotArea>
    <cx:legend pos="t" align="ctr" overlay="0"/>
  </cx:chart>
</cx:chartSpace>
</file>

<file path=xl/charts/chartEx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_xlchart.v1.37</cx:f>
      </cx:numDim>
    </cx:data>
    <cx:data id="1">
      <cx:numDim type="val">
        <cx:f>_xlchart.v1.39</cx:f>
      </cx:numDim>
    </cx:data>
    <cx:data id="2">
      <cx:numDim type="val">
        <cx:f>_xlchart.v1.41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rtl="0"/>
            <a:r>
              <a:rPr lang="es-ES" sz="1400" b="1" i="0" baseline="0">
                <a:effectLst/>
              </a:rPr>
              <a:t>COMPARACIÓN ANB* por Clase</a:t>
            </a:r>
            <a:endParaRPr lang="es-CO" sz="1400">
              <a:effectLst/>
            </a:endParaRPr>
          </a:p>
        </cx:rich>
      </cx:tx>
    </cx:title>
    <cx:plotArea>
      <cx:plotAreaRegion>
        <cx:series layoutId="boxWhisker" uniqueId="{E74CE322-EA04-4289-A0E7-B086523C8C9D}">
          <cx:tx>
            <cx:txData>
              <cx:f>_xlchart.v1.36</cx:f>
              <cx:v>CLASE I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1E5B138A-1E36-4A95-AEBB-CD0D466B9FE2}">
          <cx:tx>
            <cx:txData>
              <cx:f>_xlchart.v1.38</cx:f>
              <cx:v>CLASE II</cx:v>
            </cx:txData>
          </cx:tx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7C9288F8-F5DA-4DFF-A4C5-A5D1353A621E}">
          <cx:tx>
            <cx:txData>
              <cx:f>_xlchart.v1.40</cx:f>
              <cx:v>CLASE III</cx:v>
            </cx:txData>
          </cx:tx>
          <cx:dataId val="2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tle>
          <cx:tx>
            <cx:txData>
              <cx:v>p&lt;0,05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es-ES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Aptos Narrow" panose="02110004020202020204"/>
                </a:rPr>
                <a:t>p&lt;0,05</a:t>
              </a:r>
            </a:p>
          </cx:txPr>
        </cx:title>
        <cx:tickLabels/>
      </cx:axis>
      <cx:axis id="1">
        <cx:valScaling/>
        <cx:title/>
        <cx:majorGridlines/>
        <cx:tickLabels/>
      </cx:axis>
    </cx:plotArea>
    <cx:legend pos="t" align="ctr" overlay="0"/>
  </cx:chart>
</cx:chartSpace>
</file>

<file path=xl/charts/chartEx5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_xlchart.v1.19</cx:f>
      </cx:numDim>
    </cx:data>
    <cx:data id="1">
      <cx:numDim type="val">
        <cx:f>_xlchart.v1.21</cx:f>
      </cx:numDim>
    </cx:data>
    <cx:data id="2">
      <cx:numDim type="val">
        <cx:f>_xlchart.v1.23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rtl="0"/>
            <a:r>
              <a:rPr lang="es-ES" sz="1400" b="1" i="0" baseline="0">
                <a:effectLst/>
              </a:rPr>
              <a:t>COMPARACIÓN PP to FH por Clase</a:t>
            </a:r>
            <a:endParaRPr lang="es-CO" sz="1400">
              <a:effectLst/>
            </a:endParaRPr>
          </a:p>
        </cx:rich>
      </cx:tx>
    </cx:title>
    <cx:plotArea>
      <cx:plotAreaRegion>
        <cx:series layoutId="boxWhisker" uniqueId="{39B0039C-3D7F-40A8-BFB5-6F7D3467A238}">
          <cx:tx>
            <cx:txData>
              <cx:f>_xlchart.v1.18</cx:f>
              <cx:v>CLASE I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CD33C0AC-6CA9-4FC4-B488-F9A05BAE0FF7}">
          <cx:tx>
            <cx:txData>
              <cx:f>_xlchart.v1.20</cx:f>
              <cx:v>CLASE II</cx:v>
            </cx:txData>
          </cx:tx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A3C2C4A2-FFEA-402C-B9F3-0AFB4BB400BA}">
          <cx:tx>
            <cx:txData>
              <cx:f>_xlchart.v1.22</cx:f>
              <cx:v>CLASE III</cx:v>
            </cx:txData>
          </cx:tx>
          <cx:dataId val="2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tle>
          <cx:tx>
            <cx:txData>
              <cx:v>p&lt;0,05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es-ES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Aptos Narrow" panose="02110004020202020204"/>
                </a:rPr>
                <a:t>p&lt;0,05</a:t>
              </a:r>
            </a:p>
          </cx:txPr>
        </cx:title>
        <cx:tickLabels/>
      </cx:axis>
      <cx:axis id="1">
        <cx:valScaling/>
        <cx:title/>
        <cx:majorGridlines/>
        <cx:tickLabels/>
      </cx:axis>
    </cx:plotArea>
    <cx:legend pos="t" align="ctr" overlay="0"/>
  </cx:chart>
</cx:chartSpace>
</file>

<file path=xl/charts/chartEx6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_xlchart.v1.25</cx:f>
      </cx:numDim>
    </cx:data>
    <cx:data id="1">
      <cx:numDim type="val">
        <cx:f>_xlchart.v1.27</cx:f>
      </cx:numDim>
    </cx:data>
    <cx:data id="2">
      <cx:numDim type="val">
        <cx:f>_xlchart.v1.29</cx:f>
      </cx:numDim>
    </cx:data>
  </cx:chartData>
  <cx:chart>
    <cx:title pos="t" align="ctr" overlay="0">
      <cx:tx>
        <cx:txData>
          <cx:v>LFHt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s-E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ptos Narrow" panose="02110004020202020204"/>
            </a:rPr>
            <a:t>LFHt</a:t>
          </a:r>
        </a:p>
      </cx:txPr>
    </cx:title>
    <cx:plotArea>
      <cx:plotAreaRegion>
        <cx:series layoutId="boxWhisker" uniqueId="{E6C35C13-1DEA-4943-9E32-6579771F239E}">
          <cx:tx>
            <cx:txData>
              <cx:f>_xlchart.v1.24</cx:f>
              <cx:v>CLASE I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924C012C-3773-4147-A34D-F5D9DB5FDA53}">
          <cx:tx>
            <cx:txData>
              <cx:f>_xlchart.v1.26</cx:f>
              <cx:v>CLASE II</cx:v>
            </cx:txData>
          </cx:tx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8188B79D-57F7-494C-AA3F-25BCC47F9997}">
          <cx:tx>
            <cx:txData>
              <cx:f>_xlchart.v1.28</cx:f>
              <cx:v>CLASE III</cx:v>
            </cx:txData>
          </cx:tx>
          <cx:dataId val="2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tle>
          <cx:tx>
            <cx:txData>
              <cx:v>p&lt;0,05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es-ES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Aptos Narrow" panose="02110004020202020204"/>
                </a:rPr>
                <a:t>p&lt;0,05</a:t>
              </a:r>
            </a:p>
          </cx:txPr>
        </cx:title>
        <cx:tickLabels/>
      </cx:axis>
      <cx:axis id="1">
        <cx:valScaling max="60" min="40"/>
        <cx:title/>
        <cx:majorGridlines/>
        <cx:tickLabels/>
      </cx:axis>
    </cx:plotArea>
    <cx:legend pos="t" align="ctr" overlay="0"/>
  </cx:chart>
</cx:chartSpace>
</file>

<file path=xl/charts/chartEx7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_xlchart.v1.31</cx:f>
      </cx:numDim>
    </cx:data>
    <cx:data id="1">
      <cx:numDim type="val">
        <cx:f>_xlchart.v1.33</cx:f>
      </cx:numDim>
    </cx:data>
    <cx:data id="2">
      <cx:numDim type="val">
        <cx:f>_xlchart.v1.35</cx:f>
      </cx:numDim>
    </cx:data>
  </cx:chartData>
  <cx:chart>
    <cx:title pos="t" align="ctr" overlay="0">
      <cx:tx>
        <cx:txData>
          <cx:v>FMA(MP-FH) Ang_2D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s-E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ptos Narrow" panose="02110004020202020204"/>
            </a:rPr>
            <a:t>FMA(MP-FH) Ang_2D</a:t>
          </a:r>
        </a:p>
      </cx:txPr>
    </cx:title>
    <cx:plotArea>
      <cx:plotAreaRegion>
        <cx:series layoutId="boxWhisker" uniqueId="{1BF571EA-2DE1-42E3-AEEA-8BDFEDFDDA4A}">
          <cx:tx>
            <cx:txData>
              <cx:f>_xlchart.v1.30</cx:f>
              <cx:v>CLASE I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F179E5B0-6F00-4E9F-B5BB-72D6BDE3AC0A}">
          <cx:tx>
            <cx:txData>
              <cx:f>_xlchart.v1.32</cx:f>
              <cx:v>CLASE II</cx:v>
            </cx:txData>
          </cx:tx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6BEBBE6F-A551-44A9-A052-B7171F7B7589}">
          <cx:tx>
            <cx:txData>
              <cx:f>_xlchart.v1.34</cx:f>
              <cx:v>CLASE III</cx:v>
            </cx:txData>
          </cx:tx>
          <cx:dataId val="2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tle>
          <cx:tx>
            <cx:txData>
              <cx:v>p&lt;0,05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es-ES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Aptos Narrow" panose="02110004020202020204"/>
                </a:rPr>
                <a:t>p&lt;0,05</a:t>
              </a:r>
            </a:p>
          </cx:txPr>
        </cx:title>
        <cx:tickLabels/>
      </cx:axis>
      <cx:axis id="1">
        <cx:valScaling min="20"/>
        <cx:title/>
        <cx:majorGridlines/>
        <cx:tickLabels/>
      </cx:axis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.xml"/><Relationship Id="rId13" Type="http://schemas.openxmlformats.org/officeDocument/2006/relationships/chart" Target="../charts/chart6.xml"/><Relationship Id="rId18" Type="http://schemas.openxmlformats.org/officeDocument/2006/relationships/chart" Target="../charts/chart11.xml"/><Relationship Id="rId3" Type="http://schemas.microsoft.com/office/2014/relationships/chartEx" Target="../charts/chartEx3.xml"/><Relationship Id="rId21" Type="http://schemas.openxmlformats.org/officeDocument/2006/relationships/chart" Target="../charts/chart14.xml"/><Relationship Id="rId7" Type="http://schemas.microsoft.com/office/2014/relationships/chartEx" Target="../charts/chartEx7.xml"/><Relationship Id="rId12" Type="http://schemas.openxmlformats.org/officeDocument/2006/relationships/chart" Target="../charts/chart5.xml"/><Relationship Id="rId17" Type="http://schemas.openxmlformats.org/officeDocument/2006/relationships/chart" Target="../charts/chart10.xml"/><Relationship Id="rId25" Type="http://schemas.openxmlformats.org/officeDocument/2006/relationships/chart" Target="../charts/chart18.xml"/><Relationship Id="rId2" Type="http://schemas.microsoft.com/office/2014/relationships/chartEx" Target="../charts/chartEx2.xml"/><Relationship Id="rId16" Type="http://schemas.openxmlformats.org/officeDocument/2006/relationships/chart" Target="../charts/chart9.xml"/><Relationship Id="rId20" Type="http://schemas.openxmlformats.org/officeDocument/2006/relationships/chart" Target="../charts/chart13.xml"/><Relationship Id="rId1" Type="http://schemas.microsoft.com/office/2014/relationships/chartEx" Target="../charts/chartEx1.xml"/><Relationship Id="rId6" Type="http://schemas.microsoft.com/office/2014/relationships/chartEx" Target="../charts/chartEx6.xml"/><Relationship Id="rId11" Type="http://schemas.openxmlformats.org/officeDocument/2006/relationships/chart" Target="../charts/chart4.xml"/><Relationship Id="rId24" Type="http://schemas.openxmlformats.org/officeDocument/2006/relationships/chart" Target="../charts/chart17.xml"/><Relationship Id="rId5" Type="http://schemas.microsoft.com/office/2014/relationships/chartEx" Target="../charts/chartEx5.xml"/><Relationship Id="rId15" Type="http://schemas.openxmlformats.org/officeDocument/2006/relationships/chart" Target="../charts/chart8.xml"/><Relationship Id="rId23" Type="http://schemas.openxmlformats.org/officeDocument/2006/relationships/chart" Target="../charts/chart16.xml"/><Relationship Id="rId10" Type="http://schemas.openxmlformats.org/officeDocument/2006/relationships/chart" Target="../charts/chart3.xml"/><Relationship Id="rId19" Type="http://schemas.openxmlformats.org/officeDocument/2006/relationships/chart" Target="../charts/chart12.xml"/><Relationship Id="rId4" Type="http://schemas.microsoft.com/office/2014/relationships/chartEx" Target="../charts/chartEx4.xml"/><Relationship Id="rId9" Type="http://schemas.openxmlformats.org/officeDocument/2006/relationships/chart" Target="../charts/chart2.xml"/><Relationship Id="rId14" Type="http://schemas.openxmlformats.org/officeDocument/2006/relationships/chart" Target="../charts/chart7.xml"/><Relationship Id="rId22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26</xdr:row>
      <xdr:rowOff>0</xdr:rowOff>
    </xdr:from>
    <xdr:to>
      <xdr:col>11</xdr:col>
      <xdr:colOff>342900</xdr:colOff>
      <xdr:row>40</xdr:row>
      <xdr:rowOff>76200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9" name="Gráfico 8">
              <a:extLst>
                <a:ext uri="{FF2B5EF4-FFF2-40B4-BE49-F238E27FC236}">
                  <a16:creationId xmlns:a16="http://schemas.microsoft.com/office/drawing/2014/main" id="{7849BA10-9000-4F62-8246-DEC7B4DEE43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677275" y="4991100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4</xdr:col>
      <xdr:colOff>38100</xdr:colOff>
      <xdr:row>41</xdr:row>
      <xdr:rowOff>142875</xdr:rowOff>
    </xdr:from>
    <xdr:to>
      <xdr:col>11</xdr:col>
      <xdr:colOff>381000</xdr:colOff>
      <xdr:row>56</xdr:row>
      <xdr:rowOff>28575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0" name="Gráfico 9">
              <a:extLst>
                <a:ext uri="{FF2B5EF4-FFF2-40B4-BE49-F238E27FC236}">
                  <a16:creationId xmlns:a16="http://schemas.microsoft.com/office/drawing/2014/main" id="{82912E05-B64B-42BF-BA1B-D249F656A9E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715375" y="7991475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13</xdr:col>
      <xdr:colOff>57150</xdr:colOff>
      <xdr:row>26</xdr:row>
      <xdr:rowOff>28575</xdr:rowOff>
    </xdr:from>
    <xdr:to>
      <xdr:col>20</xdr:col>
      <xdr:colOff>371475</xdr:colOff>
      <xdr:row>40</xdr:row>
      <xdr:rowOff>104775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1" name="Gráfico 10">
              <a:extLst>
                <a:ext uri="{FF2B5EF4-FFF2-40B4-BE49-F238E27FC236}">
                  <a16:creationId xmlns:a16="http://schemas.microsoft.com/office/drawing/2014/main" id="{DFA2D696-A9FB-40AF-BD15-BC13F9E5E2C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896975" y="5019675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12</xdr:col>
      <xdr:colOff>114300</xdr:colOff>
      <xdr:row>42</xdr:row>
      <xdr:rowOff>0</xdr:rowOff>
    </xdr:from>
    <xdr:to>
      <xdr:col>20</xdr:col>
      <xdr:colOff>123825</xdr:colOff>
      <xdr:row>56</xdr:row>
      <xdr:rowOff>76200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2" name="Gráfico 11">
              <a:extLst>
                <a:ext uri="{FF2B5EF4-FFF2-40B4-BE49-F238E27FC236}">
                  <a16:creationId xmlns:a16="http://schemas.microsoft.com/office/drawing/2014/main" id="{3EA393A4-3CE3-41F2-9F6F-E13061D04E6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649325" y="8039100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21</xdr:col>
      <xdr:colOff>381000</xdr:colOff>
      <xdr:row>26</xdr:row>
      <xdr:rowOff>0</xdr:rowOff>
    </xdr:from>
    <xdr:to>
      <xdr:col>28</xdr:col>
      <xdr:colOff>438150</xdr:colOff>
      <xdr:row>40</xdr:row>
      <xdr:rowOff>76200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3" name="Gráfico 12">
              <a:extLst>
                <a:ext uri="{FF2B5EF4-FFF2-40B4-BE49-F238E27FC236}">
                  <a16:creationId xmlns:a16="http://schemas.microsoft.com/office/drawing/2014/main" id="{CB2EE1D1-9359-4B20-9A02-018CFC74A92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5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983325" y="4991100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21</xdr:col>
      <xdr:colOff>381000</xdr:colOff>
      <xdr:row>42</xdr:row>
      <xdr:rowOff>0</xdr:rowOff>
    </xdr:from>
    <xdr:to>
      <xdr:col>28</xdr:col>
      <xdr:colOff>438150</xdr:colOff>
      <xdr:row>56</xdr:row>
      <xdr:rowOff>76200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4" name="Gráfico 13">
              <a:extLst>
                <a:ext uri="{FF2B5EF4-FFF2-40B4-BE49-F238E27FC236}">
                  <a16:creationId xmlns:a16="http://schemas.microsoft.com/office/drawing/2014/main" id="{FC39E698-28F9-4B51-99DD-5CEF4800868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6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983325" y="8039100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4</xdr:col>
      <xdr:colOff>400050</xdr:colOff>
      <xdr:row>58</xdr:row>
      <xdr:rowOff>0</xdr:rowOff>
    </xdr:from>
    <xdr:to>
      <xdr:col>12</xdr:col>
      <xdr:colOff>114300</xdr:colOff>
      <xdr:row>72</xdr:row>
      <xdr:rowOff>76200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5" name="Gráfico 14">
              <a:extLst>
                <a:ext uri="{FF2B5EF4-FFF2-40B4-BE49-F238E27FC236}">
                  <a16:creationId xmlns:a16="http://schemas.microsoft.com/office/drawing/2014/main" id="{E47E898E-AFE4-4336-8C2C-7679566876E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7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077325" y="11087100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36</xdr:col>
      <xdr:colOff>200024</xdr:colOff>
      <xdr:row>2</xdr:row>
      <xdr:rowOff>142875</xdr:rowOff>
    </xdr:from>
    <xdr:to>
      <xdr:col>41</xdr:col>
      <xdr:colOff>333374</xdr:colOff>
      <xdr:row>15</xdr:row>
      <xdr:rowOff>114300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E7C0B77A-59A9-409F-9A13-38EAB8D0AE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43</xdr:col>
      <xdr:colOff>209550</xdr:colOff>
      <xdr:row>34</xdr:row>
      <xdr:rowOff>114300</xdr:rowOff>
    </xdr:from>
    <xdr:to>
      <xdr:col>49</xdr:col>
      <xdr:colOff>209550</xdr:colOff>
      <xdr:row>49</xdr:row>
      <xdr:rowOff>0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7A654B26-CA67-4BD5-AB14-EC3F2C499B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36</xdr:col>
      <xdr:colOff>266700</xdr:colOff>
      <xdr:row>34</xdr:row>
      <xdr:rowOff>85725</xdr:rowOff>
    </xdr:from>
    <xdr:to>
      <xdr:col>42</xdr:col>
      <xdr:colOff>619125</xdr:colOff>
      <xdr:row>48</xdr:row>
      <xdr:rowOff>152400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B6758376-C373-4516-931B-C9F00E81FA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36</xdr:col>
      <xdr:colOff>314325</xdr:colOff>
      <xdr:row>16</xdr:row>
      <xdr:rowOff>19051</xdr:rowOff>
    </xdr:from>
    <xdr:to>
      <xdr:col>41</xdr:col>
      <xdr:colOff>485776</xdr:colOff>
      <xdr:row>27</xdr:row>
      <xdr:rowOff>19050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336A86A4-7D87-4E47-8CEA-EB68BF0C62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41</xdr:col>
      <xdr:colOff>685800</xdr:colOff>
      <xdr:row>15</xdr:row>
      <xdr:rowOff>76201</xdr:rowOff>
    </xdr:from>
    <xdr:to>
      <xdr:col>46</xdr:col>
      <xdr:colOff>666750</xdr:colOff>
      <xdr:row>28</xdr:row>
      <xdr:rowOff>19051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5829E177-036A-4362-8AD3-8A3FCC9D8A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41</xdr:col>
      <xdr:colOff>390525</xdr:colOff>
      <xdr:row>2</xdr:row>
      <xdr:rowOff>114299</xdr:rowOff>
    </xdr:from>
    <xdr:to>
      <xdr:col>46</xdr:col>
      <xdr:colOff>552450</xdr:colOff>
      <xdr:row>15</xdr:row>
      <xdr:rowOff>47624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55AF4D7E-C5EF-450A-9C4A-C26C70E505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38</xdr:col>
      <xdr:colOff>133350</xdr:colOff>
      <xdr:row>52</xdr:row>
      <xdr:rowOff>19050</xdr:rowOff>
    </xdr:from>
    <xdr:to>
      <xdr:col>44</xdr:col>
      <xdr:colOff>133350</xdr:colOff>
      <xdr:row>66</xdr:row>
      <xdr:rowOff>85725</xdr:rowOff>
    </xdr:to>
    <xdr:graphicFrame macro="">
      <xdr:nvGraphicFramePr>
        <xdr:cNvPr id="22" name="Gráfico 21">
          <a:extLst>
            <a:ext uri="{FF2B5EF4-FFF2-40B4-BE49-F238E27FC236}">
              <a16:creationId xmlns:a16="http://schemas.microsoft.com/office/drawing/2014/main" id="{3DDB6F6B-4A1D-4903-88E5-6A7D40AA5D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37</xdr:col>
      <xdr:colOff>152400</xdr:colOff>
      <xdr:row>51</xdr:row>
      <xdr:rowOff>0</xdr:rowOff>
    </xdr:from>
    <xdr:to>
      <xdr:col>43</xdr:col>
      <xdr:colOff>152400</xdr:colOff>
      <xdr:row>65</xdr:row>
      <xdr:rowOff>66675</xdr:rowOff>
    </xdr:to>
    <xdr:graphicFrame macro="">
      <xdr:nvGraphicFramePr>
        <xdr:cNvPr id="23" name="Gráfico 22">
          <a:extLst>
            <a:ext uri="{FF2B5EF4-FFF2-40B4-BE49-F238E27FC236}">
              <a16:creationId xmlns:a16="http://schemas.microsoft.com/office/drawing/2014/main" id="{1C40801B-1190-460D-8198-257CC29430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37</xdr:col>
      <xdr:colOff>95250</xdr:colOff>
      <xdr:row>52</xdr:row>
      <xdr:rowOff>114300</xdr:rowOff>
    </xdr:from>
    <xdr:to>
      <xdr:col>43</xdr:col>
      <xdr:colOff>95250</xdr:colOff>
      <xdr:row>66</xdr:row>
      <xdr:rowOff>180975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1EB2F852-6BBB-4383-9D50-A2FE25CE9C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37</xdr:col>
      <xdr:colOff>390525</xdr:colOff>
      <xdr:row>51</xdr:row>
      <xdr:rowOff>123825</xdr:rowOff>
    </xdr:from>
    <xdr:to>
      <xdr:col>43</xdr:col>
      <xdr:colOff>390525</xdr:colOff>
      <xdr:row>66</xdr:row>
      <xdr:rowOff>0</xdr:rowOff>
    </xdr:to>
    <xdr:graphicFrame macro="">
      <xdr:nvGraphicFramePr>
        <xdr:cNvPr id="25" name="Gráfico 24">
          <a:extLst>
            <a:ext uri="{FF2B5EF4-FFF2-40B4-BE49-F238E27FC236}">
              <a16:creationId xmlns:a16="http://schemas.microsoft.com/office/drawing/2014/main" id="{1BB44D32-1FAD-4E69-9D28-8E24813BBD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37</xdr:col>
      <xdr:colOff>0</xdr:colOff>
      <xdr:row>53</xdr:row>
      <xdr:rowOff>47625</xdr:rowOff>
    </xdr:from>
    <xdr:to>
      <xdr:col>43</xdr:col>
      <xdr:colOff>0</xdr:colOff>
      <xdr:row>67</xdr:row>
      <xdr:rowOff>114300</xdr:rowOff>
    </xdr:to>
    <xdr:graphicFrame macro="">
      <xdr:nvGraphicFramePr>
        <xdr:cNvPr id="26" name="Gráfico 25">
          <a:extLst>
            <a:ext uri="{FF2B5EF4-FFF2-40B4-BE49-F238E27FC236}">
              <a16:creationId xmlns:a16="http://schemas.microsoft.com/office/drawing/2014/main" id="{3C9616AC-564F-4976-B13A-14C8F20017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37</xdr:col>
      <xdr:colOff>76200</xdr:colOff>
      <xdr:row>55</xdr:row>
      <xdr:rowOff>142875</xdr:rowOff>
    </xdr:from>
    <xdr:to>
      <xdr:col>43</xdr:col>
      <xdr:colOff>76200</xdr:colOff>
      <xdr:row>70</xdr:row>
      <xdr:rowOff>19050</xdr:rowOff>
    </xdr:to>
    <xdr:graphicFrame macro="">
      <xdr:nvGraphicFramePr>
        <xdr:cNvPr id="27" name="Gráfico 26">
          <a:extLst>
            <a:ext uri="{FF2B5EF4-FFF2-40B4-BE49-F238E27FC236}">
              <a16:creationId xmlns:a16="http://schemas.microsoft.com/office/drawing/2014/main" id="{EE269CE5-46C5-4FBC-920B-BF81808AA7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45</xdr:col>
      <xdr:colOff>38100</xdr:colOff>
      <xdr:row>51</xdr:row>
      <xdr:rowOff>0</xdr:rowOff>
    </xdr:from>
    <xdr:to>
      <xdr:col>51</xdr:col>
      <xdr:colOff>38100</xdr:colOff>
      <xdr:row>65</xdr:row>
      <xdr:rowOff>66675</xdr:rowOff>
    </xdr:to>
    <xdr:graphicFrame macro="">
      <xdr:nvGraphicFramePr>
        <xdr:cNvPr id="28" name="Gráfico 27">
          <a:extLst>
            <a:ext uri="{FF2B5EF4-FFF2-40B4-BE49-F238E27FC236}">
              <a16:creationId xmlns:a16="http://schemas.microsoft.com/office/drawing/2014/main" id="{D5249ACE-119F-40BB-85E7-10F0BFFC75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45</xdr:col>
      <xdr:colOff>38100</xdr:colOff>
      <xdr:row>53</xdr:row>
      <xdr:rowOff>0</xdr:rowOff>
    </xdr:from>
    <xdr:to>
      <xdr:col>51</xdr:col>
      <xdr:colOff>38100</xdr:colOff>
      <xdr:row>67</xdr:row>
      <xdr:rowOff>66675</xdr:rowOff>
    </xdr:to>
    <xdr:graphicFrame macro="">
      <xdr:nvGraphicFramePr>
        <xdr:cNvPr id="29" name="Gráfico 28">
          <a:extLst>
            <a:ext uri="{FF2B5EF4-FFF2-40B4-BE49-F238E27FC236}">
              <a16:creationId xmlns:a16="http://schemas.microsoft.com/office/drawing/2014/main" id="{7339946B-03A2-44AC-90A8-521D53A6C3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45</xdr:col>
      <xdr:colOff>0</xdr:colOff>
      <xdr:row>54</xdr:row>
      <xdr:rowOff>123825</xdr:rowOff>
    </xdr:from>
    <xdr:to>
      <xdr:col>51</xdr:col>
      <xdr:colOff>0</xdr:colOff>
      <xdr:row>69</xdr:row>
      <xdr:rowOff>0</xdr:rowOff>
    </xdr:to>
    <xdr:graphicFrame macro="">
      <xdr:nvGraphicFramePr>
        <xdr:cNvPr id="30" name="Gráfico 29">
          <a:extLst>
            <a:ext uri="{FF2B5EF4-FFF2-40B4-BE49-F238E27FC236}">
              <a16:creationId xmlns:a16="http://schemas.microsoft.com/office/drawing/2014/main" id="{F368F3D3-B17A-4108-A74D-613E431329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45</xdr:col>
      <xdr:colOff>495300</xdr:colOff>
      <xdr:row>55</xdr:row>
      <xdr:rowOff>104775</xdr:rowOff>
    </xdr:from>
    <xdr:to>
      <xdr:col>51</xdr:col>
      <xdr:colOff>495300</xdr:colOff>
      <xdr:row>69</xdr:row>
      <xdr:rowOff>171450</xdr:rowOff>
    </xdr:to>
    <xdr:graphicFrame macro="">
      <xdr:nvGraphicFramePr>
        <xdr:cNvPr id="31" name="Gráfico 30">
          <a:extLst>
            <a:ext uri="{FF2B5EF4-FFF2-40B4-BE49-F238E27FC236}">
              <a16:creationId xmlns:a16="http://schemas.microsoft.com/office/drawing/2014/main" id="{B53BB174-D15F-4F6C-9E71-6D75743C02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45</xdr:col>
      <xdr:colOff>0</xdr:colOff>
      <xdr:row>57</xdr:row>
      <xdr:rowOff>76200</xdr:rowOff>
    </xdr:from>
    <xdr:to>
      <xdr:col>51</xdr:col>
      <xdr:colOff>0</xdr:colOff>
      <xdr:row>71</xdr:row>
      <xdr:rowOff>142875</xdr:rowOff>
    </xdr:to>
    <xdr:graphicFrame macro="">
      <xdr:nvGraphicFramePr>
        <xdr:cNvPr id="32" name="Gráfico 31">
          <a:extLst>
            <a:ext uri="{FF2B5EF4-FFF2-40B4-BE49-F238E27FC236}">
              <a16:creationId xmlns:a16="http://schemas.microsoft.com/office/drawing/2014/main" id="{CC389EAC-45A7-41F2-9856-B5E0B6551E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45</xdr:col>
      <xdr:colOff>152400</xdr:colOff>
      <xdr:row>59</xdr:row>
      <xdr:rowOff>19050</xdr:rowOff>
    </xdr:from>
    <xdr:to>
      <xdr:col>51</xdr:col>
      <xdr:colOff>152400</xdr:colOff>
      <xdr:row>73</xdr:row>
      <xdr:rowOff>85725</xdr:rowOff>
    </xdr:to>
    <xdr:graphicFrame macro="">
      <xdr:nvGraphicFramePr>
        <xdr:cNvPr id="33" name="Gráfico 32">
          <a:extLst>
            <a:ext uri="{FF2B5EF4-FFF2-40B4-BE49-F238E27FC236}">
              <a16:creationId xmlns:a16="http://schemas.microsoft.com/office/drawing/2014/main" id="{EF80D0F0-E82B-4B83-AE2C-54B54BDFED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124693</xdr:colOff>
      <xdr:row>14</xdr:row>
      <xdr:rowOff>9899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6991AF0-F1D2-4752-9C5F-864174179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20693" cy="26768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8</xdr:col>
      <xdr:colOff>286641</xdr:colOff>
      <xdr:row>36</xdr:row>
      <xdr:rowOff>48190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28870CA-CE52-4AD7-AA10-8CCDB8E11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857500"/>
          <a:ext cx="6382641" cy="40486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391F5-24A9-4EB3-BBEC-AA579BF2265F}">
  <dimension ref="A1:DC35"/>
  <sheetViews>
    <sheetView tabSelected="1" topLeftCell="C24" zoomScale="60" zoomScaleNormal="60" workbookViewId="0">
      <selection activeCell="AJ60" sqref="AJ60"/>
    </sheetView>
  </sheetViews>
  <sheetFormatPr baseColWidth="10" defaultRowHeight="15" x14ac:dyDescent="0.25"/>
  <cols>
    <col min="1" max="1" width="31.5703125" customWidth="1"/>
    <col min="2" max="2" width="1.5703125" customWidth="1"/>
    <col min="3" max="3" width="95.28515625" bestFit="1" customWidth="1"/>
    <col min="4" max="4" width="1.7109375" customWidth="1"/>
    <col min="5" max="5" width="19.42578125" bestFit="1" customWidth="1"/>
    <col min="6" max="6" width="8.28515625" bestFit="1" customWidth="1"/>
    <col min="7" max="7" width="3" bestFit="1" customWidth="1"/>
    <col min="8" max="8" width="6.5703125" bestFit="1" customWidth="1"/>
    <col min="9" max="9" width="8.85546875" customWidth="1"/>
    <col min="10" max="10" width="7.5703125" bestFit="1" customWidth="1"/>
    <col min="11" max="11" width="9.7109375" bestFit="1" customWidth="1"/>
    <col min="12" max="12" width="9.42578125" bestFit="1" customWidth="1"/>
    <col min="13" max="13" width="4.5703125" bestFit="1" customWidth="1"/>
    <col min="14" max="14" width="7.85546875" customWidth="1"/>
    <col min="15" max="15" width="7.7109375" customWidth="1"/>
    <col min="16" max="16" width="7.28515625" bestFit="1" customWidth="1"/>
    <col min="17" max="17" width="8.28515625" bestFit="1" customWidth="1"/>
    <col min="18" max="18" width="5.7109375" customWidth="1"/>
    <col min="19" max="19" width="19.42578125" bestFit="1" customWidth="1"/>
    <col min="20" max="21" width="7.5703125" bestFit="1" customWidth="1"/>
    <col min="22" max="22" width="6" bestFit="1" customWidth="1"/>
    <col min="23" max="23" width="7.5703125" bestFit="1" customWidth="1"/>
    <col min="24" max="24" width="8.42578125" bestFit="1" customWidth="1"/>
    <col min="32" max="32" width="12" customWidth="1"/>
    <col min="33" max="33" width="19.42578125" bestFit="1" customWidth="1"/>
    <col min="34" max="34" width="6.140625" customWidth="1"/>
    <col min="35" max="35" width="7.5703125" bestFit="1" customWidth="1"/>
    <col min="36" max="36" width="5.85546875" bestFit="1" customWidth="1"/>
    <col min="37" max="37" width="6.140625" bestFit="1" customWidth="1"/>
    <col min="97" max="97" width="11.7109375" bestFit="1" customWidth="1"/>
  </cols>
  <sheetData>
    <row r="1" spans="1:107" x14ac:dyDescent="0.25">
      <c r="A1" t="s">
        <v>33</v>
      </c>
      <c r="C1" t="s">
        <v>34</v>
      </c>
    </row>
    <row r="2" spans="1:107" ht="15" customHeight="1" x14ac:dyDescent="0.25">
      <c r="A2" t="s">
        <v>35</v>
      </c>
      <c r="C2" t="s">
        <v>36</v>
      </c>
      <c r="E2" s="87"/>
      <c r="F2" s="87"/>
      <c r="G2" s="83" t="s">
        <v>37</v>
      </c>
      <c r="H2" s="83" t="s">
        <v>38</v>
      </c>
      <c r="I2" s="83" t="s">
        <v>39</v>
      </c>
      <c r="J2" s="83" t="s">
        <v>40</v>
      </c>
      <c r="K2" s="83" t="s">
        <v>41</v>
      </c>
      <c r="L2" s="83" t="s">
        <v>42</v>
      </c>
      <c r="M2" s="83" t="s">
        <v>43</v>
      </c>
      <c r="N2" s="83" t="s">
        <v>44</v>
      </c>
      <c r="O2" s="83" t="s">
        <v>45</v>
      </c>
      <c r="P2" s="84" t="s">
        <v>46</v>
      </c>
      <c r="Q2" s="85" t="s">
        <v>47</v>
      </c>
      <c r="S2" s="10"/>
      <c r="T2" s="11" t="s">
        <v>50</v>
      </c>
      <c r="U2" s="11" t="s">
        <v>51</v>
      </c>
      <c r="V2" s="11" t="s">
        <v>52</v>
      </c>
      <c r="W2" s="11" t="s">
        <v>53</v>
      </c>
      <c r="X2" s="12" t="s">
        <v>54</v>
      </c>
    </row>
    <row r="3" spans="1:107" x14ac:dyDescent="0.25">
      <c r="A3" t="s">
        <v>48</v>
      </c>
      <c r="C3" t="s">
        <v>49</v>
      </c>
      <c r="E3" s="87"/>
      <c r="F3" s="87"/>
      <c r="G3" s="83"/>
      <c r="H3" s="83"/>
      <c r="I3" s="83"/>
      <c r="J3" s="83"/>
      <c r="K3" s="83"/>
      <c r="L3" s="83"/>
      <c r="M3" s="83"/>
      <c r="N3" s="83"/>
      <c r="O3" s="83"/>
      <c r="P3" s="84"/>
      <c r="Q3" s="86"/>
      <c r="S3" s="13" t="s">
        <v>58</v>
      </c>
      <c r="T3" s="14" t="s">
        <v>197</v>
      </c>
      <c r="U3" s="14" t="s">
        <v>199</v>
      </c>
      <c r="V3" s="15">
        <v>1.4508435495756871</v>
      </c>
      <c r="W3" s="16">
        <v>0.4949121369880497</v>
      </c>
      <c r="X3" s="20" t="s">
        <v>62</v>
      </c>
      <c r="CC3" t="s">
        <v>55</v>
      </c>
      <c r="CG3" t="s">
        <v>31</v>
      </c>
      <c r="CK3" t="s">
        <v>55</v>
      </c>
      <c r="CO3" t="s">
        <v>28</v>
      </c>
      <c r="CS3" t="s">
        <v>29</v>
      </c>
      <c r="CW3" t="s">
        <v>30</v>
      </c>
      <c r="DA3" t="s">
        <v>32</v>
      </c>
    </row>
    <row r="4" spans="1:107" x14ac:dyDescent="0.25">
      <c r="A4" t="s">
        <v>56</v>
      </c>
      <c r="C4" t="s">
        <v>57</v>
      </c>
      <c r="E4" s="13" t="s">
        <v>58</v>
      </c>
      <c r="F4" s="14" t="s">
        <v>197</v>
      </c>
      <c r="G4" s="14">
        <v>23</v>
      </c>
      <c r="H4" s="15">
        <v>17.618260869565216</v>
      </c>
      <c r="I4" s="15">
        <v>0.97131972937315203</v>
      </c>
      <c r="J4" s="15">
        <v>17.54</v>
      </c>
      <c r="K4" s="15">
        <v>24.545000000000002</v>
      </c>
      <c r="L4" s="15">
        <v>8.875</v>
      </c>
      <c r="M4" s="15">
        <v>7.59</v>
      </c>
      <c r="N4" s="16">
        <v>0.41065718613396518</v>
      </c>
      <c r="O4" s="17">
        <v>0.23310909719588269</v>
      </c>
      <c r="P4" s="18">
        <v>3.2826921159880951E-2</v>
      </c>
      <c r="Q4" s="19" t="s">
        <v>60</v>
      </c>
      <c r="S4" s="21"/>
      <c r="T4" s="14" t="s">
        <v>197</v>
      </c>
      <c r="U4" s="14" t="s">
        <v>196</v>
      </c>
      <c r="V4" s="15">
        <v>1.9599999999999991</v>
      </c>
      <c r="W4" s="16">
        <v>0.28083291695010648</v>
      </c>
      <c r="X4" s="19"/>
      <c r="AF4" t="s">
        <v>63</v>
      </c>
      <c r="CC4" t="s">
        <v>58</v>
      </c>
      <c r="CG4" t="s">
        <v>59</v>
      </c>
      <c r="CH4" t="s">
        <v>61</v>
      </c>
      <c r="CI4" t="s">
        <v>64</v>
      </c>
      <c r="CK4" t="s">
        <v>27</v>
      </c>
      <c r="CO4" t="s">
        <v>59</v>
      </c>
      <c r="CP4" t="s">
        <v>61</v>
      </c>
      <c r="CQ4" t="s">
        <v>64</v>
      </c>
      <c r="CS4" t="s">
        <v>59</v>
      </c>
      <c r="CT4" t="s">
        <v>61</v>
      </c>
      <c r="CU4" t="s">
        <v>64</v>
      </c>
      <c r="CW4" t="s">
        <v>59</v>
      </c>
      <c r="CX4" t="s">
        <v>61</v>
      </c>
      <c r="CY4" t="s">
        <v>64</v>
      </c>
      <c r="DA4" t="s">
        <v>59</v>
      </c>
      <c r="DB4" t="s">
        <v>61</v>
      </c>
      <c r="DC4" t="s">
        <v>64</v>
      </c>
    </row>
    <row r="5" spans="1:107" ht="15.75" thickBot="1" x14ac:dyDescent="0.3">
      <c r="A5" t="s">
        <v>60</v>
      </c>
      <c r="C5" t="s">
        <v>65</v>
      </c>
      <c r="E5" s="21"/>
      <c r="F5" s="14" t="s">
        <v>199</v>
      </c>
      <c r="G5" s="14">
        <v>23</v>
      </c>
      <c r="H5" s="15">
        <v>19.069104419140903</v>
      </c>
      <c r="I5" s="15">
        <v>0.77839295359271476</v>
      </c>
      <c r="J5" s="15">
        <v>18.18</v>
      </c>
      <c r="K5" s="15">
        <v>27.573308198025668</v>
      </c>
      <c r="L5" s="15">
        <v>13.705</v>
      </c>
      <c r="M5" s="15">
        <v>4.4574999999999996</v>
      </c>
      <c r="N5" s="16">
        <v>0.20161680880402577</v>
      </c>
      <c r="O5" s="22"/>
      <c r="P5" s="23"/>
      <c r="Q5" s="19"/>
      <c r="S5" s="27"/>
      <c r="T5" s="14" t="s">
        <v>199</v>
      </c>
      <c r="U5" s="14" t="s">
        <v>196</v>
      </c>
      <c r="V5" s="15">
        <v>3.4108435495756861</v>
      </c>
      <c r="W5" s="28">
        <v>2.5295862378763356E-2</v>
      </c>
      <c r="X5" s="29"/>
      <c r="AF5" s="24"/>
      <c r="AG5" s="24"/>
      <c r="AH5" s="24" t="s">
        <v>58</v>
      </c>
      <c r="AI5" s="24" t="s">
        <v>53</v>
      </c>
      <c r="CA5" t="s">
        <v>59</v>
      </c>
      <c r="CB5" t="s">
        <v>61</v>
      </c>
      <c r="CC5" t="s">
        <v>64</v>
      </c>
      <c r="CE5">
        <v>128.91</v>
      </c>
      <c r="CF5">
        <v>131.99</v>
      </c>
      <c r="CG5">
        <v>130.22</v>
      </c>
      <c r="CI5" t="s">
        <v>59</v>
      </c>
      <c r="CJ5" t="s">
        <v>61</v>
      </c>
      <c r="CK5" t="s">
        <v>64</v>
      </c>
      <c r="CM5">
        <v>2.67</v>
      </c>
      <c r="CN5">
        <v>5.89</v>
      </c>
      <c r="CO5">
        <v>4.01</v>
      </c>
      <c r="CQ5">
        <v>2.08</v>
      </c>
      <c r="CR5">
        <v>1.04</v>
      </c>
      <c r="CS5">
        <v>4.1100000000000003</v>
      </c>
      <c r="CU5">
        <v>43.43</v>
      </c>
      <c r="CV5">
        <v>47.3</v>
      </c>
      <c r="CW5">
        <v>50.43</v>
      </c>
      <c r="CY5">
        <v>25.41</v>
      </c>
      <c r="CZ5">
        <v>27.17</v>
      </c>
      <c r="DA5">
        <v>28.6</v>
      </c>
    </row>
    <row r="6" spans="1:107" x14ac:dyDescent="0.25">
      <c r="A6" t="s">
        <v>70</v>
      </c>
      <c r="C6" t="s">
        <v>71</v>
      </c>
      <c r="E6" s="21"/>
      <c r="F6" s="25" t="s">
        <v>196</v>
      </c>
      <c r="G6" s="25">
        <v>23</v>
      </c>
      <c r="H6" s="26">
        <v>15.658260869565217</v>
      </c>
      <c r="I6" s="26">
        <v>0.94478439353450927</v>
      </c>
      <c r="J6" s="26">
        <v>16.924999999999997</v>
      </c>
      <c r="K6" s="26">
        <v>25.314999999999998</v>
      </c>
      <c r="L6" s="26">
        <v>5.99</v>
      </c>
      <c r="M6" s="26">
        <v>6.3850000000000016</v>
      </c>
      <c r="N6" s="17">
        <v>0.4612635790041012</v>
      </c>
      <c r="O6" s="22"/>
      <c r="P6" s="23"/>
      <c r="Q6" s="19"/>
      <c r="S6" s="21" t="s">
        <v>31</v>
      </c>
      <c r="T6" s="31" t="s">
        <v>197</v>
      </c>
      <c r="U6" s="31" t="s">
        <v>199</v>
      </c>
      <c r="V6" s="32">
        <v>0.7983584293375543</v>
      </c>
      <c r="W6" s="33">
        <v>0.86589510884443821</v>
      </c>
      <c r="X6" s="19" t="s">
        <v>62</v>
      </c>
      <c r="AF6" s="77" t="s">
        <v>197</v>
      </c>
      <c r="AG6" s="74" t="s">
        <v>79</v>
      </c>
      <c r="AH6" s="74">
        <v>-0.31870676829073685</v>
      </c>
      <c r="AI6" s="78">
        <v>0.13828825064602246</v>
      </c>
      <c r="CA6">
        <v>8.875</v>
      </c>
      <c r="CB6">
        <v>19.805</v>
      </c>
      <c r="CC6">
        <v>18.204999999999998</v>
      </c>
      <c r="CE6">
        <v>129.61000000000001</v>
      </c>
      <c r="CF6">
        <v>129.13999999999999</v>
      </c>
      <c r="CG6">
        <v>129.47</v>
      </c>
      <c r="CI6">
        <v>84.37</v>
      </c>
      <c r="CJ6">
        <v>74.510000000000005</v>
      </c>
      <c r="CK6">
        <v>87.83</v>
      </c>
      <c r="CM6">
        <v>3.9</v>
      </c>
      <c r="CN6">
        <v>6.02</v>
      </c>
      <c r="CO6">
        <v>3.88</v>
      </c>
      <c r="CQ6">
        <v>2.33</v>
      </c>
      <c r="CR6">
        <v>2.09</v>
      </c>
      <c r="CS6">
        <v>6.86</v>
      </c>
      <c r="CU6">
        <v>48.35</v>
      </c>
      <c r="CV6">
        <v>46.73</v>
      </c>
      <c r="CW6">
        <v>51.1</v>
      </c>
      <c r="CY6">
        <v>26.68</v>
      </c>
      <c r="CZ6">
        <v>26.08</v>
      </c>
      <c r="DA6">
        <v>28.31</v>
      </c>
    </row>
    <row r="7" spans="1:107" x14ac:dyDescent="0.25">
      <c r="A7" t="s">
        <v>72</v>
      </c>
      <c r="C7" t="s">
        <v>73</v>
      </c>
      <c r="E7" s="13" t="s">
        <v>31</v>
      </c>
      <c r="F7" s="14" t="s">
        <v>197</v>
      </c>
      <c r="G7" s="14">
        <v>23</v>
      </c>
      <c r="H7" s="15">
        <v>130.03086956521739</v>
      </c>
      <c r="I7" s="15">
        <v>1.098564444694812</v>
      </c>
      <c r="J7" s="15">
        <v>131.19</v>
      </c>
      <c r="K7" s="15">
        <v>136.35</v>
      </c>
      <c r="L7" s="15">
        <v>118.03</v>
      </c>
      <c r="M7" s="15">
        <v>6.914999999999992</v>
      </c>
      <c r="N7" s="73">
        <v>0.14503183666784125</v>
      </c>
      <c r="O7" s="17">
        <v>0.67517551577660506</v>
      </c>
      <c r="P7" s="30">
        <v>0.31211228224506404</v>
      </c>
      <c r="Q7" s="20" t="s">
        <v>60</v>
      </c>
      <c r="S7" s="21"/>
      <c r="T7" s="14" t="s">
        <v>197</v>
      </c>
      <c r="U7" s="14" t="s">
        <v>196</v>
      </c>
      <c r="V7" s="15">
        <v>1.562608695652159</v>
      </c>
      <c r="W7" s="16">
        <v>0.57845080147187289</v>
      </c>
      <c r="X7" s="19"/>
      <c r="AF7" s="79"/>
      <c r="AG7" t="s">
        <v>27</v>
      </c>
      <c r="AH7">
        <v>0.46860490079205691</v>
      </c>
      <c r="AI7" s="80">
        <v>2.410912494406503E-2</v>
      </c>
      <c r="CA7">
        <v>10.98</v>
      </c>
      <c r="CB7">
        <v>17.074999999999999</v>
      </c>
      <c r="CC7">
        <v>3.8849999999999998</v>
      </c>
      <c r="CE7">
        <v>133.56</v>
      </c>
      <c r="CF7">
        <v>132.02000000000001</v>
      </c>
      <c r="CG7">
        <v>128.88999999999999</v>
      </c>
      <c r="CI7">
        <v>83.62</v>
      </c>
      <c r="CJ7">
        <v>71.81</v>
      </c>
      <c r="CK7">
        <v>97.07</v>
      </c>
      <c r="CM7">
        <v>3.11</v>
      </c>
      <c r="CN7">
        <v>7.89</v>
      </c>
      <c r="CO7">
        <v>3.06</v>
      </c>
      <c r="CQ7">
        <v>-3.34</v>
      </c>
      <c r="CR7">
        <v>2.99</v>
      </c>
      <c r="CS7">
        <v>2.82</v>
      </c>
      <c r="CU7">
        <v>43.7</v>
      </c>
      <c r="CV7">
        <v>48.44</v>
      </c>
      <c r="CW7">
        <v>45.99</v>
      </c>
      <c r="CY7">
        <v>25.38</v>
      </c>
      <c r="CZ7">
        <v>29.28</v>
      </c>
      <c r="DA7">
        <v>27.24</v>
      </c>
    </row>
    <row r="8" spans="1:107" x14ac:dyDescent="0.25">
      <c r="A8" t="s">
        <v>62</v>
      </c>
      <c r="C8" t="s">
        <v>74</v>
      </c>
      <c r="E8" s="21"/>
      <c r="F8" s="14" t="s">
        <v>199</v>
      </c>
      <c r="G8" s="14">
        <v>23</v>
      </c>
      <c r="H8" s="15">
        <v>130.82922799455494</v>
      </c>
      <c r="I8" s="15">
        <v>0.97222544865787508</v>
      </c>
      <c r="J8" s="15">
        <v>131.43</v>
      </c>
      <c r="K8" s="15">
        <v>138.15383332762181</v>
      </c>
      <c r="L8" s="15">
        <v>121.28</v>
      </c>
      <c r="M8" s="15">
        <v>5.3599999999999852</v>
      </c>
      <c r="N8" s="16">
        <v>0.77359954018920352</v>
      </c>
      <c r="O8" s="22"/>
      <c r="P8" s="23"/>
      <c r="Q8" s="19"/>
      <c r="S8" s="21"/>
      <c r="T8" s="25" t="s">
        <v>199</v>
      </c>
      <c r="U8" s="25" t="s">
        <v>196</v>
      </c>
      <c r="V8" s="26">
        <v>2.3609671249897133</v>
      </c>
      <c r="W8" s="17">
        <v>0.29126833088937276</v>
      </c>
      <c r="X8" s="19"/>
      <c r="AF8" s="79"/>
      <c r="AG8" t="s">
        <v>28</v>
      </c>
      <c r="AH8">
        <v>0.51383399209486169</v>
      </c>
      <c r="AI8" s="80">
        <v>1.2140429945704523E-2</v>
      </c>
      <c r="CA8">
        <v>12.61</v>
      </c>
      <c r="CB8">
        <v>17.690000000000001</v>
      </c>
      <c r="CC8">
        <v>16.924999999999997</v>
      </c>
      <c r="CE8">
        <v>131.19</v>
      </c>
      <c r="CF8">
        <v>131.43</v>
      </c>
      <c r="CG8">
        <v>125.06</v>
      </c>
      <c r="CI8">
        <v>85.88</v>
      </c>
      <c r="CJ8">
        <v>70.150000000000006</v>
      </c>
      <c r="CK8">
        <v>102.87</v>
      </c>
      <c r="CM8">
        <v>2.93</v>
      </c>
      <c r="CN8">
        <v>5.96</v>
      </c>
      <c r="CO8">
        <v>4.66</v>
      </c>
      <c r="CQ8">
        <v>4.5199999999999996</v>
      </c>
      <c r="CR8">
        <v>0.97</v>
      </c>
      <c r="CS8">
        <v>2.08</v>
      </c>
      <c r="CU8">
        <v>46.69</v>
      </c>
      <c r="CV8">
        <v>51.34</v>
      </c>
      <c r="CW8">
        <v>53.17</v>
      </c>
      <c r="CY8">
        <v>24.72</v>
      </c>
      <c r="CZ8">
        <v>42.62</v>
      </c>
      <c r="DA8">
        <v>26</v>
      </c>
    </row>
    <row r="9" spans="1:107" x14ac:dyDescent="0.25">
      <c r="A9" t="s">
        <v>75</v>
      </c>
      <c r="C9" t="s">
        <v>76</v>
      </c>
      <c r="E9" s="27"/>
      <c r="F9" s="14" t="s">
        <v>196</v>
      </c>
      <c r="G9" s="14">
        <v>23</v>
      </c>
      <c r="H9" s="15">
        <v>128.46826086956523</v>
      </c>
      <c r="I9" s="15">
        <v>1.2241568288298348</v>
      </c>
      <c r="J9" s="15">
        <v>128.88999999999999</v>
      </c>
      <c r="K9" s="15">
        <v>140.83000000000001</v>
      </c>
      <c r="L9" s="15">
        <v>117.68</v>
      </c>
      <c r="M9" s="15">
        <v>6.6600000000000108</v>
      </c>
      <c r="N9" s="16">
        <v>0.99986828772178671</v>
      </c>
      <c r="O9" s="33"/>
      <c r="P9" s="34"/>
      <c r="Q9" s="29"/>
      <c r="S9" s="13" t="s">
        <v>27</v>
      </c>
      <c r="T9" s="14" t="s">
        <v>197</v>
      </c>
      <c r="U9" s="14" t="s">
        <v>199</v>
      </c>
      <c r="V9" s="15">
        <v>13.01513240662112</v>
      </c>
      <c r="W9" s="28">
        <v>1.7097434579227411E-14</v>
      </c>
      <c r="X9" s="20" t="s">
        <v>62</v>
      </c>
      <c r="AF9" s="79"/>
      <c r="AG9" t="s">
        <v>29</v>
      </c>
      <c r="AH9">
        <v>-0.43446443246599004</v>
      </c>
      <c r="AI9" s="80">
        <v>3.8303371514737727E-2</v>
      </c>
      <c r="CA9">
        <v>11.805</v>
      </c>
      <c r="CB9">
        <v>23.675000000000001</v>
      </c>
      <c r="CC9">
        <v>8.8449999999999989</v>
      </c>
      <c r="CE9">
        <v>118.19</v>
      </c>
      <c r="CF9">
        <v>121.85</v>
      </c>
      <c r="CG9">
        <v>118.07</v>
      </c>
      <c r="CI9">
        <v>83.35</v>
      </c>
      <c r="CJ9">
        <v>71.510000000000005</v>
      </c>
      <c r="CK9">
        <v>92.87</v>
      </c>
      <c r="CM9">
        <v>4.12</v>
      </c>
      <c r="CN9">
        <v>6.74</v>
      </c>
      <c r="CO9">
        <v>6.07</v>
      </c>
      <c r="CQ9">
        <v>-9.98</v>
      </c>
      <c r="CR9">
        <v>3.63</v>
      </c>
      <c r="CS9">
        <v>0.79</v>
      </c>
      <c r="CU9">
        <v>43.87</v>
      </c>
      <c r="CV9">
        <v>51.16</v>
      </c>
      <c r="CW9">
        <v>44.43</v>
      </c>
      <c r="CY9">
        <v>27.8</v>
      </c>
      <c r="CZ9">
        <v>47.1</v>
      </c>
      <c r="DA9">
        <v>27.65</v>
      </c>
    </row>
    <row r="10" spans="1:107" x14ac:dyDescent="0.25">
      <c r="A10" t="s">
        <v>77</v>
      </c>
      <c r="E10" s="21" t="s">
        <v>27</v>
      </c>
      <c r="F10" s="31" t="s">
        <v>197</v>
      </c>
      <c r="G10" s="31">
        <v>23</v>
      </c>
      <c r="H10" s="32">
        <v>85.275217391304338</v>
      </c>
      <c r="I10" s="32">
        <v>0.35643428986308912</v>
      </c>
      <c r="J10" s="32">
        <v>84.66</v>
      </c>
      <c r="K10" s="32">
        <v>89.2</v>
      </c>
      <c r="L10" s="32">
        <v>83.02</v>
      </c>
      <c r="M10" s="32">
        <v>2.4449999999999932</v>
      </c>
      <c r="N10" s="33">
        <v>0.11523616963190775</v>
      </c>
      <c r="O10" s="35">
        <v>9.361824300224697E-7</v>
      </c>
      <c r="P10" s="36">
        <v>6.6502930578789024E-30</v>
      </c>
      <c r="Q10" s="19" t="s">
        <v>70</v>
      </c>
      <c r="S10" s="21"/>
      <c r="T10" s="14" t="s">
        <v>197</v>
      </c>
      <c r="U10" s="14" t="s">
        <v>196</v>
      </c>
      <c r="V10" s="15">
        <v>9.381304347826088</v>
      </c>
      <c r="W10" s="28">
        <v>3.7527758678379541E-12</v>
      </c>
      <c r="X10" s="19"/>
      <c r="AF10" s="79"/>
      <c r="AG10" t="s">
        <v>30</v>
      </c>
      <c r="AH10">
        <v>-0.12646980482092191</v>
      </c>
      <c r="AI10" s="80">
        <v>0.56527713808086399</v>
      </c>
      <c r="CA10">
        <v>24.545000000000002</v>
      </c>
      <c r="CB10">
        <v>26.574999999999999</v>
      </c>
      <c r="CC10">
        <v>17.155000000000001</v>
      </c>
      <c r="CE10">
        <v>118.03</v>
      </c>
      <c r="CF10">
        <v>137.77000000000001</v>
      </c>
      <c r="CG10">
        <v>131.84</v>
      </c>
      <c r="CI10">
        <v>86.17</v>
      </c>
      <c r="CJ10">
        <v>72.430000000000007</v>
      </c>
      <c r="CK10">
        <v>96.24</v>
      </c>
      <c r="CM10">
        <v>4.83</v>
      </c>
      <c r="CN10">
        <v>6.76</v>
      </c>
      <c r="CO10">
        <v>4.87</v>
      </c>
      <c r="CQ10">
        <v>0.08</v>
      </c>
      <c r="CR10">
        <v>5.16</v>
      </c>
      <c r="CS10">
        <v>1.95</v>
      </c>
      <c r="CU10">
        <v>47.11</v>
      </c>
      <c r="CV10">
        <v>48.6</v>
      </c>
      <c r="CW10">
        <v>49.19</v>
      </c>
      <c r="CY10">
        <v>30.15</v>
      </c>
      <c r="CZ10">
        <v>25.15</v>
      </c>
      <c r="DA10">
        <v>28.1</v>
      </c>
    </row>
    <row r="11" spans="1:107" ht="15.75" thickBot="1" x14ac:dyDescent="0.3">
      <c r="E11" s="21"/>
      <c r="F11" s="14" t="s">
        <v>199</v>
      </c>
      <c r="G11" s="14">
        <v>23</v>
      </c>
      <c r="H11" s="15">
        <v>72.260084984683218</v>
      </c>
      <c r="I11" s="15">
        <v>0.37002458469326921</v>
      </c>
      <c r="J11" s="15">
        <v>72.430000000000007</v>
      </c>
      <c r="K11" s="15">
        <v>75.34</v>
      </c>
      <c r="L11" s="15">
        <v>67.86</v>
      </c>
      <c r="M11" s="15">
        <v>1.9900000000000091</v>
      </c>
      <c r="N11" s="16">
        <v>0.85241930917929432</v>
      </c>
      <c r="O11" s="22"/>
      <c r="P11" s="23"/>
      <c r="Q11" s="19"/>
      <c r="S11" s="27"/>
      <c r="T11" s="14" t="s">
        <v>199</v>
      </c>
      <c r="U11" s="14" t="s">
        <v>196</v>
      </c>
      <c r="V11" s="15">
        <v>22.396436754447208</v>
      </c>
      <c r="W11" s="28">
        <v>1.7097434579227411E-14</v>
      </c>
      <c r="X11" s="29"/>
      <c r="AF11" s="81"/>
      <c r="AG11" s="75" t="s">
        <v>80</v>
      </c>
      <c r="AH11" s="75">
        <v>0.46047430830039526</v>
      </c>
      <c r="AI11" s="82">
        <v>2.7027766593941349E-2</v>
      </c>
      <c r="CA11">
        <v>24.3</v>
      </c>
      <c r="CB11">
        <v>18.810000000000002</v>
      </c>
      <c r="CC11">
        <v>10.905000000000001</v>
      </c>
      <c r="CE11">
        <v>133.12</v>
      </c>
      <c r="CF11">
        <v>128.91</v>
      </c>
      <c r="CG11">
        <v>126.2</v>
      </c>
      <c r="CI11">
        <v>86.64</v>
      </c>
      <c r="CJ11">
        <v>72.53</v>
      </c>
      <c r="CK11">
        <v>93.49</v>
      </c>
      <c r="CM11">
        <v>5.69</v>
      </c>
      <c r="CN11">
        <v>7.81</v>
      </c>
      <c r="CO11">
        <v>5.4</v>
      </c>
      <c r="CQ11">
        <v>2.34</v>
      </c>
      <c r="CR11">
        <v>1.78</v>
      </c>
      <c r="CS11">
        <v>5.3</v>
      </c>
      <c r="CU11">
        <v>43.1</v>
      </c>
      <c r="CV11">
        <v>50.4</v>
      </c>
      <c r="CW11">
        <v>53.52</v>
      </c>
      <c r="CY11">
        <v>23.78</v>
      </c>
      <c r="CZ11">
        <v>35.58</v>
      </c>
      <c r="DA11">
        <v>30.71</v>
      </c>
    </row>
    <row r="12" spans="1:107" x14ac:dyDescent="0.25">
      <c r="E12" s="21"/>
      <c r="F12" s="25" t="s">
        <v>196</v>
      </c>
      <c r="G12" s="25">
        <v>23</v>
      </c>
      <c r="H12" s="26">
        <v>94.656521739130426</v>
      </c>
      <c r="I12" s="26">
        <v>1.20958713249811</v>
      </c>
      <c r="J12" s="26">
        <v>93.49</v>
      </c>
      <c r="K12" s="26">
        <v>108.46</v>
      </c>
      <c r="L12" s="26">
        <v>87.83</v>
      </c>
      <c r="M12" s="26">
        <v>8.9399999999999977</v>
      </c>
      <c r="N12" s="17">
        <v>3.1514199798783116E-2</v>
      </c>
      <c r="O12" s="22"/>
      <c r="P12" s="23"/>
      <c r="Q12" s="19"/>
      <c r="S12" s="21" t="s">
        <v>28</v>
      </c>
      <c r="T12" s="31" t="s">
        <v>197</v>
      </c>
      <c r="U12" s="31" t="s">
        <v>199</v>
      </c>
      <c r="V12" s="32">
        <v>2.9811811445435552</v>
      </c>
      <c r="W12" s="38">
        <v>1.4494664246633704E-8</v>
      </c>
      <c r="X12" s="19" t="s">
        <v>62</v>
      </c>
      <c r="AF12" s="77" t="s">
        <v>199</v>
      </c>
      <c r="AG12" s="74" t="s">
        <v>79</v>
      </c>
      <c r="AH12" s="74">
        <v>-4.1238144657156472E-2</v>
      </c>
      <c r="AI12" s="78">
        <v>0.85180085679707174</v>
      </c>
      <c r="CA12">
        <v>14.760000000000002</v>
      </c>
      <c r="CB12">
        <v>23.265000000000001</v>
      </c>
      <c r="CC12">
        <v>11.664999999999999</v>
      </c>
      <c r="CE12">
        <v>124.43</v>
      </c>
      <c r="CF12">
        <v>133.69999999999999</v>
      </c>
      <c r="CG12">
        <v>140.83000000000001</v>
      </c>
      <c r="CI12">
        <v>86.43</v>
      </c>
      <c r="CJ12">
        <v>72.290000000000006</v>
      </c>
      <c r="CK12">
        <v>87.21</v>
      </c>
      <c r="CM12">
        <v>1.92</v>
      </c>
      <c r="CN12">
        <v>5.87</v>
      </c>
      <c r="CO12">
        <v>4.3499999999999996</v>
      </c>
      <c r="CQ12">
        <v>4.33</v>
      </c>
      <c r="CR12">
        <v>3.99</v>
      </c>
      <c r="CS12">
        <v>3.23</v>
      </c>
      <c r="CU12">
        <v>46.11</v>
      </c>
      <c r="CV12">
        <v>47.67</v>
      </c>
      <c r="CW12">
        <v>48.82</v>
      </c>
      <c r="CY12">
        <v>24.75</v>
      </c>
      <c r="CZ12">
        <v>29.29</v>
      </c>
      <c r="DA12">
        <v>34.36</v>
      </c>
    </row>
    <row r="13" spans="1:107" x14ac:dyDescent="0.25">
      <c r="E13" s="13" t="s">
        <v>28</v>
      </c>
      <c r="F13" s="14" t="s">
        <v>197</v>
      </c>
      <c r="G13" s="14">
        <v>23</v>
      </c>
      <c r="H13" s="15">
        <v>3.7608695652173907</v>
      </c>
      <c r="I13" s="15">
        <v>0.26534704923726687</v>
      </c>
      <c r="J13" s="15">
        <v>3.97</v>
      </c>
      <c r="K13" s="15">
        <v>5.84</v>
      </c>
      <c r="L13" s="15">
        <v>0.56000000000000005</v>
      </c>
      <c r="M13" s="15">
        <v>1.4199999999999995</v>
      </c>
      <c r="N13" s="16">
        <v>0.71540186691416552</v>
      </c>
      <c r="O13" s="37">
        <v>2.1033870255771081E-3</v>
      </c>
      <c r="P13" s="18">
        <v>2.3166675774851281E-10</v>
      </c>
      <c r="Q13" s="20" t="s">
        <v>70</v>
      </c>
      <c r="S13" s="21"/>
      <c r="T13" s="14" t="s">
        <v>197</v>
      </c>
      <c r="U13" s="14" t="s">
        <v>196</v>
      </c>
      <c r="V13" s="15">
        <v>0.13478260869565251</v>
      </c>
      <c r="W13" s="16">
        <v>0.95026126846629499</v>
      </c>
      <c r="X13" s="19"/>
      <c r="AF13" s="79"/>
      <c r="AG13" t="s">
        <v>27</v>
      </c>
      <c r="AH13">
        <v>-0.14558330863854027</v>
      </c>
      <c r="AI13" s="80">
        <v>0.50745699356083818</v>
      </c>
      <c r="CA13">
        <v>10.76</v>
      </c>
      <c r="CB13">
        <v>21.695</v>
      </c>
      <c r="CC13">
        <v>25.314999999999998</v>
      </c>
      <c r="CE13">
        <v>136.32</v>
      </c>
      <c r="CF13">
        <v>133.44</v>
      </c>
      <c r="CG13">
        <v>120.64</v>
      </c>
      <c r="CI13">
        <v>83.02</v>
      </c>
      <c r="CJ13">
        <v>72.2</v>
      </c>
      <c r="CK13">
        <v>88.4</v>
      </c>
      <c r="CM13">
        <v>0.56000000000000005</v>
      </c>
      <c r="CN13">
        <v>6.3</v>
      </c>
      <c r="CO13">
        <v>4.4800000000000004</v>
      </c>
      <c r="CQ13">
        <v>1.63</v>
      </c>
      <c r="CR13">
        <v>1.52</v>
      </c>
      <c r="CS13">
        <v>1.84</v>
      </c>
      <c r="CU13">
        <v>43.93</v>
      </c>
      <c r="CV13">
        <v>47.12</v>
      </c>
      <c r="CW13">
        <v>45.66</v>
      </c>
      <c r="CY13">
        <v>24.78</v>
      </c>
      <c r="CZ13">
        <v>30.19</v>
      </c>
      <c r="DA13">
        <v>28.52</v>
      </c>
    </row>
    <row r="14" spans="1:107" x14ac:dyDescent="0.25">
      <c r="E14" s="21"/>
      <c r="F14" s="14" t="s">
        <v>199</v>
      </c>
      <c r="G14" s="14">
        <v>23</v>
      </c>
      <c r="H14" s="15">
        <v>6.7420507097609459</v>
      </c>
      <c r="I14" s="15">
        <v>0.30071088236617677</v>
      </c>
      <c r="J14" s="15">
        <v>6.3</v>
      </c>
      <c r="K14" s="15">
        <v>11.64</v>
      </c>
      <c r="L14" s="15">
        <v>4.74</v>
      </c>
      <c r="M14" s="15">
        <v>1.3167898478115623</v>
      </c>
      <c r="N14" s="16">
        <v>1.7601578586553535E-3</v>
      </c>
      <c r="O14" s="22"/>
      <c r="P14" s="23"/>
      <c r="Q14" s="19"/>
      <c r="S14" s="21"/>
      <c r="T14" s="25" t="s">
        <v>199</v>
      </c>
      <c r="U14" s="25" t="s">
        <v>196</v>
      </c>
      <c r="V14" s="26">
        <v>3.1159637532392077</v>
      </c>
      <c r="W14" s="37">
        <v>4.1825635177517029E-9</v>
      </c>
      <c r="X14" s="19"/>
      <c r="AF14" s="79"/>
      <c r="AG14" t="s">
        <v>28</v>
      </c>
      <c r="AH14">
        <v>-0.26582960842783326</v>
      </c>
      <c r="AI14" s="80">
        <v>0.22020401296729508</v>
      </c>
      <c r="CA14">
        <v>18.774999999999999</v>
      </c>
      <c r="CB14">
        <v>17.045000000000002</v>
      </c>
      <c r="CC14">
        <v>12.47</v>
      </c>
      <c r="CE14">
        <v>126.14</v>
      </c>
      <c r="CF14">
        <v>135.12</v>
      </c>
      <c r="CG14">
        <v>136.80000000000001</v>
      </c>
      <c r="CI14">
        <v>85.24</v>
      </c>
      <c r="CJ14">
        <v>74.260000000000005</v>
      </c>
      <c r="CK14">
        <v>103.13</v>
      </c>
      <c r="CM14">
        <v>2.66</v>
      </c>
      <c r="CN14">
        <v>5.51</v>
      </c>
      <c r="CO14">
        <v>1.06</v>
      </c>
      <c r="CQ14">
        <v>3.91</v>
      </c>
      <c r="CR14">
        <v>4.04</v>
      </c>
      <c r="CS14">
        <v>2.96</v>
      </c>
      <c r="CU14">
        <v>48.82</v>
      </c>
      <c r="CV14">
        <v>51.96</v>
      </c>
      <c r="CW14">
        <v>44.43</v>
      </c>
      <c r="CY14">
        <v>23.14</v>
      </c>
      <c r="CZ14">
        <v>34.08</v>
      </c>
      <c r="DA14">
        <v>28.55</v>
      </c>
    </row>
    <row r="15" spans="1:107" x14ac:dyDescent="0.25">
      <c r="E15" s="27"/>
      <c r="F15" s="14" t="s">
        <v>196</v>
      </c>
      <c r="G15" s="14">
        <v>23</v>
      </c>
      <c r="H15" s="15">
        <v>3.6260869565217382</v>
      </c>
      <c r="I15" s="15">
        <v>0.36516969856110437</v>
      </c>
      <c r="J15" s="15">
        <v>3.97</v>
      </c>
      <c r="K15" s="15">
        <v>6.73</v>
      </c>
      <c r="L15" s="15">
        <v>1.06</v>
      </c>
      <c r="M15" s="15">
        <v>2.625</v>
      </c>
      <c r="N15" s="16">
        <v>0.22535792002810473</v>
      </c>
      <c r="O15" s="33"/>
      <c r="P15" s="34"/>
      <c r="Q15" s="29"/>
      <c r="S15" s="13" t="s">
        <v>29</v>
      </c>
      <c r="T15" s="14" t="s">
        <v>197</v>
      </c>
      <c r="U15" s="14" t="s">
        <v>199</v>
      </c>
      <c r="V15" s="15">
        <v>2.0931777115228982</v>
      </c>
      <c r="W15" s="28">
        <v>1.8695245723315157E-2</v>
      </c>
      <c r="X15" s="20" t="s">
        <v>62</v>
      </c>
      <c r="AF15" s="79"/>
      <c r="AG15" t="s">
        <v>29</v>
      </c>
      <c r="AH15">
        <v>-0.26408801829733997</v>
      </c>
      <c r="AI15" s="80">
        <v>0.22335549131065457</v>
      </c>
      <c r="CA15">
        <v>14.074999999999999</v>
      </c>
      <c r="CB15">
        <v>20.434999999999999</v>
      </c>
      <c r="CC15">
        <v>20.655000000000001</v>
      </c>
      <c r="CE15">
        <v>135.49</v>
      </c>
      <c r="CF15">
        <v>121.28</v>
      </c>
      <c r="CG15">
        <v>125.02</v>
      </c>
      <c r="CI15">
        <v>84.16</v>
      </c>
      <c r="CJ15">
        <v>74.61</v>
      </c>
      <c r="CK15">
        <v>94.39</v>
      </c>
      <c r="CM15">
        <v>4.5199999999999996</v>
      </c>
      <c r="CN15">
        <v>6.72</v>
      </c>
      <c r="CO15">
        <v>6.62</v>
      </c>
      <c r="CQ15">
        <v>1.35</v>
      </c>
      <c r="CR15">
        <v>6.98</v>
      </c>
      <c r="CS15">
        <v>3.32</v>
      </c>
      <c r="CU15">
        <v>44.57</v>
      </c>
      <c r="CV15">
        <v>45.48</v>
      </c>
      <c r="CW15">
        <v>48.87</v>
      </c>
      <c r="CY15">
        <v>24.27</v>
      </c>
      <c r="CZ15">
        <v>31.39</v>
      </c>
      <c r="DA15">
        <v>31.91</v>
      </c>
    </row>
    <row r="16" spans="1:107" x14ac:dyDescent="0.25">
      <c r="E16" s="13" t="s">
        <v>29</v>
      </c>
      <c r="F16" s="14" t="s">
        <v>197</v>
      </c>
      <c r="G16" s="14">
        <v>23</v>
      </c>
      <c r="H16" s="15">
        <v>1.2895652173913041</v>
      </c>
      <c r="I16" s="15">
        <v>0.68648830794198912</v>
      </c>
      <c r="J16" s="15">
        <v>1.78</v>
      </c>
      <c r="K16" s="15">
        <v>5.51</v>
      </c>
      <c r="L16" s="15">
        <v>-9.98</v>
      </c>
      <c r="M16" s="15">
        <v>3.4949999999999997</v>
      </c>
      <c r="N16" s="28">
        <v>1.5550477031395227E-3</v>
      </c>
      <c r="O16" s="17">
        <v>0.34902029326005612</v>
      </c>
      <c r="P16" s="18">
        <v>2.4276313681537941E-2</v>
      </c>
      <c r="Q16" s="20" t="s">
        <v>60</v>
      </c>
      <c r="S16" s="21"/>
      <c r="T16" s="14" t="s">
        <v>197</v>
      </c>
      <c r="U16" s="14" t="s">
        <v>196</v>
      </c>
      <c r="V16" s="15">
        <v>1.2465217391304346</v>
      </c>
      <c r="W16" s="16">
        <v>0.22796891727556234</v>
      </c>
      <c r="X16" s="19"/>
      <c r="AF16" s="79"/>
      <c r="AG16" t="s">
        <v>30</v>
      </c>
      <c r="AH16">
        <v>0.23394845891115271</v>
      </c>
      <c r="AI16" s="80">
        <v>0.28264011864673877</v>
      </c>
      <c r="CA16">
        <v>18.46</v>
      </c>
      <c r="CB16">
        <v>17.914999999999999</v>
      </c>
      <c r="CC16">
        <v>7.93</v>
      </c>
      <c r="CE16">
        <v>134.11000000000001</v>
      </c>
      <c r="CF16">
        <v>129.83000000000001</v>
      </c>
      <c r="CG16">
        <v>131.46</v>
      </c>
      <c r="CI16">
        <v>84.66</v>
      </c>
      <c r="CJ16">
        <v>71.650000000000006</v>
      </c>
      <c r="CK16">
        <v>108.46</v>
      </c>
      <c r="CM16">
        <v>4.07</v>
      </c>
      <c r="CN16">
        <v>5.43</v>
      </c>
      <c r="CO16">
        <v>2.52</v>
      </c>
      <c r="CQ16">
        <v>4.21</v>
      </c>
      <c r="CR16">
        <v>0.57999999999999996</v>
      </c>
      <c r="CS16">
        <v>1.27</v>
      </c>
      <c r="CU16">
        <v>48.23</v>
      </c>
      <c r="CV16">
        <v>48.83</v>
      </c>
      <c r="CW16">
        <v>45.65</v>
      </c>
      <c r="CY16">
        <v>24.39</v>
      </c>
      <c r="CZ16">
        <v>32.79</v>
      </c>
      <c r="DA16">
        <v>36.979999999999997</v>
      </c>
    </row>
    <row r="17" spans="5:107" ht="15.75" thickBot="1" x14ac:dyDescent="0.3">
      <c r="E17" s="21"/>
      <c r="F17" s="14" t="s">
        <v>199</v>
      </c>
      <c r="G17" s="14">
        <v>23</v>
      </c>
      <c r="H17" s="15">
        <v>3.3827429289142024</v>
      </c>
      <c r="I17" s="15">
        <v>0.40972568478739341</v>
      </c>
      <c r="J17" s="15">
        <v>2.99</v>
      </c>
      <c r="K17" s="15">
        <v>7.81</v>
      </c>
      <c r="L17" s="15">
        <v>0.57999999999999996</v>
      </c>
      <c r="M17" s="15">
        <v>1.8750000000000009</v>
      </c>
      <c r="N17" s="16">
        <v>0.1148581533235582</v>
      </c>
      <c r="O17" s="22"/>
      <c r="P17" s="23"/>
      <c r="Q17" s="19"/>
      <c r="S17" s="27"/>
      <c r="T17" s="14" t="s">
        <v>199</v>
      </c>
      <c r="U17" s="14" t="s">
        <v>196</v>
      </c>
      <c r="V17" s="15">
        <v>0.8466559723924636</v>
      </c>
      <c r="W17" s="16">
        <v>0.50041665933489843</v>
      </c>
      <c r="X17" s="29"/>
      <c r="AF17" s="81"/>
      <c r="AG17" s="75" t="s">
        <v>80</v>
      </c>
      <c r="AH17" s="75">
        <v>0.5753235172570812</v>
      </c>
      <c r="AI17" s="82">
        <v>4.0763694517276239E-3</v>
      </c>
      <c r="CA17">
        <v>17.425000000000001</v>
      </c>
      <c r="CB17">
        <v>18.18</v>
      </c>
      <c r="CC17">
        <v>19.215</v>
      </c>
      <c r="CE17">
        <v>136.35</v>
      </c>
      <c r="CF17">
        <v>136.54</v>
      </c>
      <c r="CG17">
        <v>119.04</v>
      </c>
      <c r="CI17">
        <v>84.47</v>
      </c>
      <c r="CJ17">
        <v>73.37</v>
      </c>
      <c r="CK17">
        <v>93.2</v>
      </c>
      <c r="CM17">
        <v>3.18</v>
      </c>
      <c r="CN17">
        <v>8.14</v>
      </c>
      <c r="CO17">
        <v>6.53</v>
      </c>
      <c r="CQ17">
        <v>3.9</v>
      </c>
      <c r="CR17">
        <v>2.6</v>
      </c>
      <c r="CS17">
        <v>0.03</v>
      </c>
      <c r="CU17">
        <v>47.85</v>
      </c>
      <c r="CV17">
        <v>45.03</v>
      </c>
      <c r="CW17">
        <v>56.14</v>
      </c>
      <c r="CY17">
        <v>26.61</v>
      </c>
      <c r="CZ17">
        <v>29.04</v>
      </c>
      <c r="DA17">
        <v>36.67</v>
      </c>
    </row>
    <row r="18" spans="5:107" x14ac:dyDescent="0.25">
      <c r="E18" s="27"/>
      <c r="F18" s="14" t="s">
        <v>196</v>
      </c>
      <c r="G18" s="14">
        <v>23</v>
      </c>
      <c r="H18" s="15">
        <v>2.5360869565217388</v>
      </c>
      <c r="I18" s="15">
        <v>0.45378545675574256</v>
      </c>
      <c r="J18" s="15">
        <v>2.58</v>
      </c>
      <c r="K18" s="15">
        <v>10.44</v>
      </c>
      <c r="L18" s="15">
        <v>0.18</v>
      </c>
      <c r="M18" s="15">
        <v>2.0999999999999996</v>
      </c>
      <c r="N18" s="28">
        <v>4.0129690552825892E-4</v>
      </c>
      <c r="O18" s="33"/>
      <c r="P18" s="34"/>
      <c r="Q18" s="29"/>
      <c r="S18" s="21" t="s">
        <v>30</v>
      </c>
      <c r="T18" s="31" t="s">
        <v>197</v>
      </c>
      <c r="U18" s="31" t="s">
        <v>199</v>
      </c>
      <c r="V18" s="32">
        <v>3.8387486583712374</v>
      </c>
      <c r="W18" s="38">
        <v>6.2481403280134629E-6</v>
      </c>
      <c r="X18" s="19" t="s">
        <v>62</v>
      </c>
      <c r="AF18" s="77" t="s">
        <v>196</v>
      </c>
      <c r="AG18" s="74" t="s">
        <v>79</v>
      </c>
      <c r="AH18" s="74">
        <v>0.53625374351332467</v>
      </c>
      <c r="AI18" s="78">
        <v>7.4000671983854285E-3</v>
      </c>
      <c r="CA18">
        <v>18.274999999999999</v>
      </c>
      <c r="CB18">
        <v>17.645</v>
      </c>
      <c r="CC18">
        <v>15.184999999999999</v>
      </c>
      <c r="CE18">
        <v>126.85</v>
      </c>
      <c r="CF18">
        <v>125.82</v>
      </c>
      <c r="CG18">
        <v>124.96</v>
      </c>
      <c r="CI18">
        <v>83.34</v>
      </c>
      <c r="CJ18">
        <v>72.989999999999995</v>
      </c>
      <c r="CK18">
        <v>95.3</v>
      </c>
      <c r="CM18">
        <v>3.56</v>
      </c>
      <c r="CN18">
        <v>5.95</v>
      </c>
      <c r="CO18">
        <v>3.97</v>
      </c>
      <c r="CQ18">
        <v>2.0099999999999998</v>
      </c>
      <c r="CR18">
        <v>2.19</v>
      </c>
      <c r="CS18">
        <v>1.38</v>
      </c>
      <c r="CU18">
        <v>47.01</v>
      </c>
      <c r="CV18">
        <v>54.76</v>
      </c>
      <c r="CW18">
        <v>49.18</v>
      </c>
      <c r="CY18">
        <v>32.619999999999997</v>
      </c>
      <c r="CZ18">
        <v>39.619999999999997</v>
      </c>
      <c r="DA18">
        <v>32.5</v>
      </c>
    </row>
    <row r="19" spans="5:107" x14ac:dyDescent="0.25">
      <c r="E19" s="21" t="s">
        <v>30</v>
      </c>
      <c r="F19" s="31" t="s">
        <v>197</v>
      </c>
      <c r="G19" s="31">
        <v>23</v>
      </c>
      <c r="H19" s="32">
        <v>45.576521739130442</v>
      </c>
      <c r="I19" s="32">
        <v>0.38909066416324223</v>
      </c>
      <c r="J19" s="32">
        <v>45.33</v>
      </c>
      <c r="K19" s="32">
        <v>48.82</v>
      </c>
      <c r="L19" s="32">
        <v>43.1</v>
      </c>
      <c r="M19" s="32">
        <v>3.1850000000000023</v>
      </c>
      <c r="N19" s="33">
        <v>7.3128440718476573E-2</v>
      </c>
      <c r="O19" s="22">
        <v>6.4600301711078667E-2</v>
      </c>
      <c r="P19" s="36">
        <v>1.1905999679404925E-5</v>
      </c>
      <c r="Q19" s="19" t="s">
        <v>60</v>
      </c>
      <c r="S19" s="21"/>
      <c r="T19" s="14" t="s">
        <v>197</v>
      </c>
      <c r="U19" s="14" t="s">
        <v>196</v>
      </c>
      <c r="V19" s="15">
        <v>2.0099999999999909</v>
      </c>
      <c r="W19" s="28">
        <v>2.2246003446494633E-2</v>
      </c>
      <c r="X19" s="19"/>
      <c r="AF19" s="79"/>
      <c r="AG19" t="s">
        <v>27</v>
      </c>
      <c r="AH19">
        <v>-0.44300370201002331</v>
      </c>
      <c r="AI19" s="80">
        <v>3.3290206864009013E-2</v>
      </c>
      <c r="CA19">
        <v>17.54</v>
      </c>
      <c r="CB19">
        <v>20.490000000000002</v>
      </c>
      <c r="CC19">
        <v>19.475000000000001</v>
      </c>
      <c r="CE19">
        <v>131.29</v>
      </c>
      <c r="CF19">
        <v>126.29</v>
      </c>
      <c r="CG19">
        <v>136.18</v>
      </c>
      <c r="CI19">
        <v>89.2</v>
      </c>
      <c r="CJ19">
        <v>71.180000000000007</v>
      </c>
      <c r="CK19">
        <v>89.34</v>
      </c>
      <c r="CM19">
        <v>5.3</v>
      </c>
      <c r="CN19">
        <v>4.74</v>
      </c>
      <c r="CO19">
        <v>4.87</v>
      </c>
      <c r="CQ19">
        <v>1.61</v>
      </c>
      <c r="CR19">
        <v>3.81</v>
      </c>
      <c r="CS19">
        <v>2.58</v>
      </c>
      <c r="CU19">
        <v>45.75</v>
      </c>
      <c r="CV19">
        <v>47.63</v>
      </c>
      <c r="CW19">
        <v>43.33</v>
      </c>
      <c r="CY19">
        <v>24.94</v>
      </c>
      <c r="CZ19">
        <v>31.2</v>
      </c>
      <c r="DA19">
        <v>30.94</v>
      </c>
    </row>
    <row r="20" spans="5:107" x14ac:dyDescent="0.25">
      <c r="E20" s="21"/>
      <c r="F20" s="14" t="s">
        <v>199</v>
      </c>
      <c r="G20" s="14">
        <v>23</v>
      </c>
      <c r="H20" s="15">
        <v>49.415270397501679</v>
      </c>
      <c r="I20" s="15">
        <v>0.66592198110007084</v>
      </c>
      <c r="J20" s="15">
        <v>48.55</v>
      </c>
      <c r="K20" s="15">
        <v>59.27</v>
      </c>
      <c r="L20" s="15">
        <v>45.03</v>
      </c>
      <c r="M20" s="15">
        <v>3.5866983985985001</v>
      </c>
      <c r="N20" s="16">
        <v>1.6867730336401765E-2</v>
      </c>
      <c r="O20" s="22"/>
      <c r="P20" s="23"/>
      <c r="Q20" s="19"/>
      <c r="S20" s="21"/>
      <c r="T20" s="25" t="s">
        <v>199</v>
      </c>
      <c r="U20" s="25" t="s">
        <v>196</v>
      </c>
      <c r="V20" s="26">
        <v>1.8287486583712464</v>
      </c>
      <c r="W20" s="37">
        <v>4.1317523949287338E-2</v>
      </c>
      <c r="X20" s="19"/>
      <c r="AF20" s="79"/>
      <c r="AG20" t="s">
        <v>28</v>
      </c>
      <c r="AH20">
        <v>-0.16216882798367141</v>
      </c>
      <c r="AI20" s="80">
        <v>0.45973830432756813</v>
      </c>
      <c r="CA20">
        <v>19.555</v>
      </c>
      <c r="CB20">
        <v>16.225000000000001</v>
      </c>
      <c r="CC20">
        <v>12.015000000000001</v>
      </c>
      <c r="CE20">
        <v>127.58</v>
      </c>
      <c r="CF20">
        <v>126.22</v>
      </c>
      <c r="CG20">
        <v>135.56</v>
      </c>
      <c r="CI20">
        <v>84.03</v>
      </c>
      <c r="CJ20">
        <v>75.34</v>
      </c>
      <c r="CK20">
        <v>89.71</v>
      </c>
      <c r="CM20">
        <v>2.0699999999999998</v>
      </c>
      <c r="CN20">
        <v>5.72</v>
      </c>
      <c r="CO20">
        <v>1.7</v>
      </c>
      <c r="CQ20">
        <v>3.46</v>
      </c>
      <c r="CR20">
        <v>7.81</v>
      </c>
      <c r="CS20">
        <v>1.1499999999999999</v>
      </c>
      <c r="CU20">
        <v>43.62</v>
      </c>
      <c r="CV20">
        <v>48.55</v>
      </c>
      <c r="CW20">
        <v>51.33</v>
      </c>
      <c r="CY20">
        <v>25.11</v>
      </c>
      <c r="CZ20">
        <v>27.4</v>
      </c>
      <c r="DA20">
        <v>30.73</v>
      </c>
    </row>
    <row r="21" spans="5:107" x14ac:dyDescent="0.25">
      <c r="E21" s="21"/>
      <c r="F21" s="25" t="s">
        <v>196</v>
      </c>
      <c r="G21" s="25">
        <v>23</v>
      </c>
      <c r="H21" s="26">
        <v>47.586521739130433</v>
      </c>
      <c r="I21" s="26">
        <v>0.47181954106029228</v>
      </c>
      <c r="J21" s="26">
        <v>47.45</v>
      </c>
      <c r="K21" s="26">
        <v>51.33</v>
      </c>
      <c r="L21" s="26">
        <v>43.33</v>
      </c>
      <c r="M21" s="26">
        <v>3.4649999999999963</v>
      </c>
      <c r="N21" s="17">
        <v>0.47991706991433269</v>
      </c>
      <c r="O21" s="22"/>
      <c r="P21" s="23"/>
      <c r="Q21" s="19"/>
      <c r="S21" s="13" t="s">
        <v>32</v>
      </c>
      <c r="T21" s="14" t="s">
        <v>197</v>
      </c>
      <c r="U21" s="14" t="s">
        <v>199</v>
      </c>
      <c r="V21" s="15">
        <v>6.4432336890202215</v>
      </c>
      <c r="W21" s="28">
        <v>2.4299392455962021E-6</v>
      </c>
      <c r="X21" s="20" t="s">
        <v>75</v>
      </c>
      <c r="AF21" s="79"/>
      <c r="AG21" t="s">
        <v>29</v>
      </c>
      <c r="AH21">
        <v>2.0995919034841791E-2</v>
      </c>
      <c r="AI21" s="80">
        <v>0.92424516156335879</v>
      </c>
      <c r="CA21">
        <v>22.25</v>
      </c>
      <c r="CB21">
        <v>15.29</v>
      </c>
      <c r="CC21">
        <v>14.649999999999999</v>
      </c>
      <c r="CE21">
        <v>133.80000000000001</v>
      </c>
      <c r="CF21">
        <v>137.27000000000001</v>
      </c>
      <c r="CG21">
        <v>131.4</v>
      </c>
      <c r="CI21">
        <v>88.39</v>
      </c>
      <c r="CJ21">
        <v>73.3</v>
      </c>
      <c r="CK21">
        <v>87.5</v>
      </c>
      <c r="CM21">
        <v>4.3600000000000003</v>
      </c>
      <c r="CN21">
        <v>6.24</v>
      </c>
      <c r="CO21">
        <v>1.78</v>
      </c>
      <c r="CQ21">
        <v>0.09</v>
      </c>
      <c r="CR21">
        <v>2.39</v>
      </c>
      <c r="CS21">
        <v>0.18</v>
      </c>
      <c r="CU21">
        <v>43.88</v>
      </c>
      <c r="CV21">
        <v>47.95</v>
      </c>
      <c r="CW21">
        <v>46.27</v>
      </c>
      <c r="CY21">
        <v>24.97</v>
      </c>
      <c r="CZ21">
        <v>26.88</v>
      </c>
      <c r="DA21">
        <v>31.21</v>
      </c>
    </row>
    <row r="22" spans="5:107" x14ac:dyDescent="0.25">
      <c r="E22" s="13" t="s">
        <v>32</v>
      </c>
      <c r="F22" s="14" t="s">
        <v>197</v>
      </c>
      <c r="G22" s="14">
        <v>23</v>
      </c>
      <c r="H22" s="15">
        <v>26.111304347826088</v>
      </c>
      <c r="I22" s="15">
        <v>0.5468560173343554</v>
      </c>
      <c r="J22" s="15">
        <v>25.11</v>
      </c>
      <c r="K22" s="15">
        <v>33.04</v>
      </c>
      <c r="L22" s="15">
        <v>23.14</v>
      </c>
      <c r="M22" s="15">
        <v>2.2250000000000014</v>
      </c>
      <c r="N22" s="28">
        <v>4.7480438836011718E-4</v>
      </c>
      <c r="O22" s="37">
        <v>1.1431002000390489E-3</v>
      </c>
      <c r="P22" s="18">
        <v>3.0276035881033468E-6</v>
      </c>
      <c r="Q22" s="20" t="s">
        <v>72</v>
      </c>
      <c r="S22" s="21"/>
      <c r="T22" s="14" t="s">
        <v>197</v>
      </c>
      <c r="U22" s="14" t="s">
        <v>196</v>
      </c>
      <c r="V22" s="15">
        <v>4.4082608695652183</v>
      </c>
      <c r="W22" s="28">
        <v>1.1660598325526905E-3</v>
      </c>
      <c r="X22" s="19"/>
      <c r="AF22" s="79"/>
      <c r="AG22" t="s">
        <v>30</v>
      </c>
      <c r="AH22">
        <v>7.9691134624012991E-2</v>
      </c>
      <c r="AI22" s="80">
        <v>0.71776471817363974</v>
      </c>
      <c r="CA22">
        <v>21.765000000000001</v>
      </c>
      <c r="CB22">
        <v>14.445</v>
      </c>
      <c r="CC22">
        <v>16.355</v>
      </c>
      <c r="CE22">
        <v>127.7</v>
      </c>
      <c r="CF22">
        <v>130.50705882352938</v>
      </c>
      <c r="CG22">
        <v>127.16</v>
      </c>
      <c r="CI22">
        <v>85.6</v>
      </c>
      <c r="CJ22">
        <v>73.510000000000005</v>
      </c>
      <c r="CK22">
        <v>89.36</v>
      </c>
      <c r="CM22">
        <v>5.84</v>
      </c>
      <c r="CN22">
        <v>6.3347058823529414</v>
      </c>
      <c r="CO22">
        <v>1.71</v>
      </c>
      <c r="CQ22">
        <v>0.37</v>
      </c>
      <c r="CR22">
        <v>3.1511764705882355</v>
      </c>
      <c r="CS22">
        <v>0.57999999999999996</v>
      </c>
      <c r="CU22">
        <v>44.39</v>
      </c>
      <c r="CV22" t="s">
        <v>78</v>
      </c>
      <c r="CW22">
        <v>49.36</v>
      </c>
      <c r="CY22">
        <v>27.18</v>
      </c>
      <c r="CZ22" t="s">
        <v>78</v>
      </c>
      <c r="DA22">
        <v>26.72</v>
      </c>
    </row>
    <row r="23" spans="5:107" ht="15.75" thickBot="1" x14ac:dyDescent="0.3">
      <c r="E23" s="21"/>
      <c r="F23" s="14" t="s">
        <v>199</v>
      </c>
      <c r="G23" s="14">
        <v>23</v>
      </c>
      <c r="H23" s="15">
        <v>32.55453803684631</v>
      </c>
      <c r="I23" s="15">
        <v>1.2142607651629338</v>
      </c>
      <c r="J23" s="15">
        <v>31.39</v>
      </c>
      <c r="K23" s="15">
        <v>47.1</v>
      </c>
      <c r="L23" s="15">
        <v>25.15</v>
      </c>
      <c r="M23" s="15">
        <v>6.3996477743663007</v>
      </c>
      <c r="N23" s="28">
        <v>2.8573080155392949E-2</v>
      </c>
      <c r="O23" s="22"/>
      <c r="P23" s="23"/>
      <c r="Q23" s="19"/>
      <c r="S23" s="27"/>
      <c r="T23" s="14" t="s">
        <v>199</v>
      </c>
      <c r="U23" s="14" t="s">
        <v>196</v>
      </c>
      <c r="V23" s="15">
        <v>2.0349728194550032</v>
      </c>
      <c r="W23" s="16">
        <v>0.20536098390408475</v>
      </c>
      <c r="X23" s="29"/>
      <c r="AF23" s="81"/>
      <c r="AG23" s="75" t="s">
        <v>80</v>
      </c>
      <c r="AH23" s="75">
        <v>0.34980237154150201</v>
      </c>
      <c r="AI23" s="82">
        <v>0.10179594567782946</v>
      </c>
      <c r="CA23">
        <v>22.950000000000003</v>
      </c>
      <c r="CB23">
        <f>+AVERAGE(CB6:CB22)</f>
        <v>19.191764705882356</v>
      </c>
      <c r="CC23">
        <v>18.560000000000002</v>
      </c>
      <c r="CE23">
        <v>124.72</v>
      </c>
      <c r="CF23">
        <v>130.50705882352938</v>
      </c>
      <c r="CG23">
        <v>117.68</v>
      </c>
      <c r="CI23">
        <v>83.65</v>
      </c>
      <c r="CJ23">
        <v>72.802352941176466</v>
      </c>
      <c r="CK23">
        <v>90.61</v>
      </c>
      <c r="CM23">
        <v>4.17</v>
      </c>
      <c r="CN23">
        <v>6.3347058823529414</v>
      </c>
      <c r="CO23">
        <v>2.39</v>
      </c>
      <c r="CQ23">
        <v>1.78</v>
      </c>
      <c r="CR23">
        <v>3.1511764705882355</v>
      </c>
      <c r="CS23">
        <v>2.63</v>
      </c>
      <c r="CU23">
        <v>45.33</v>
      </c>
      <c r="CV23" t="s">
        <v>78</v>
      </c>
      <c r="CW23">
        <v>49.71</v>
      </c>
      <c r="CY23">
        <v>25.86</v>
      </c>
      <c r="CZ23" t="s">
        <v>78</v>
      </c>
      <c r="DA23">
        <v>31.62</v>
      </c>
    </row>
    <row r="24" spans="5:107" x14ac:dyDescent="0.25">
      <c r="E24" s="27"/>
      <c r="F24" s="14" t="s">
        <v>196</v>
      </c>
      <c r="G24" s="14">
        <v>23</v>
      </c>
      <c r="H24" s="15">
        <v>30.519565217391307</v>
      </c>
      <c r="I24" s="15">
        <v>0.57095803209291207</v>
      </c>
      <c r="J24" s="15">
        <v>29.67</v>
      </c>
      <c r="K24" s="15">
        <v>36.979999999999997</v>
      </c>
      <c r="L24" s="15">
        <v>26.72</v>
      </c>
      <c r="M24" s="15">
        <v>3.8400000000000034</v>
      </c>
      <c r="N24" s="16">
        <v>0.21237362583402986</v>
      </c>
      <c r="O24" s="33"/>
      <c r="P24" s="34"/>
      <c r="Q24" s="29"/>
      <c r="CC24">
        <v>23.765000000000001</v>
      </c>
      <c r="CD24">
        <v>19.191764705882356</v>
      </c>
      <c r="CE24">
        <v>12.515000000000001</v>
      </c>
      <c r="CG24">
        <v>134.15</v>
      </c>
      <c r="CH24">
        <v>130.50705882352938</v>
      </c>
      <c r="CI24">
        <v>122.34</v>
      </c>
      <c r="CK24">
        <v>87.16</v>
      </c>
      <c r="CL24">
        <v>72.802352941176466</v>
      </c>
      <c r="CM24">
        <v>92.07</v>
      </c>
      <c r="CO24">
        <v>3.69</v>
      </c>
      <c r="CP24">
        <v>6.3347058823529414</v>
      </c>
      <c r="CQ24">
        <v>3.03</v>
      </c>
      <c r="CS24">
        <v>-0.28000000000000003</v>
      </c>
      <c r="CT24">
        <v>3.1511764705882355</v>
      </c>
      <c r="CU24">
        <v>3.98</v>
      </c>
      <c r="CW24">
        <v>47.56</v>
      </c>
      <c r="CX24" t="s">
        <v>78</v>
      </c>
      <c r="CY24">
        <v>47.38</v>
      </c>
      <c r="DA24">
        <v>26.88</v>
      </c>
      <c r="DB24" t="s">
        <v>78</v>
      </c>
      <c r="DC24">
        <v>29.21</v>
      </c>
    </row>
    <row r="25" spans="5:107" x14ac:dyDescent="0.25">
      <c r="CC25">
        <v>16.63</v>
      </c>
      <c r="CD25">
        <v>19.191764705882356</v>
      </c>
      <c r="CE25">
        <v>5.99</v>
      </c>
      <c r="CG25">
        <v>129.49</v>
      </c>
      <c r="CH25">
        <v>130.50705882352938</v>
      </c>
      <c r="CI25">
        <v>131.01</v>
      </c>
      <c r="CK25">
        <v>84.02</v>
      </c>
      <c r="CL25">
        <v>72.802352941176466</v>
      </c>
      <c r="CM25">
        <v>101.04</v>
      </c>
      <c r="CO25">
        <v>5.22</v>
      </c>
      <c r="CP25">
        <v>6.3347058823529414</v>
      </c>
      <c r="CQ25">
        <v>6.73</v>
      </c>
      <c r="CS25">
        <v>-2.5299999999999998</v>
      </c>
      <c r="CT25">
        <v>3.1511764705882355</v>
      </c>
      <c r="CU25">
        <v>0.19</v>
      </c>
      <c r="CW25">
        <v>46.65</v>
      </c>
      <c r="CX25" t="s">
        <v>78</v>
      </c>
      <c r="CY25">
        <v>47.45</v>
      </c>
      <c r="DA25">
        <v>33.04</v>
      </c>
      <c r="DB25" t="s">
        <v>78</v>
      </c>
      <c r="DC25">
        <v>29.55</v>
      </c>
    </row>
    <row r="26" spans="5:107" x14ac:dyDescent="0.25">
      <c r="CC26">
        <v>22.3</v>
      </c>
      <c r="CD26">
        <v>19.191764705882356</v>
      </c>
      <c r="CE26">
        <v>19.364999999999998</v>
      </c>
      <c r="CG26">
        <v>134.56</v>
      </c>
      <c r="CH26">
        <v>130.50705882352938</v>
      </c>
      <c r="CI26">
        <v>125.48</v>
      </c>
      <c r="CK26">
        <v>87.31</v>
      </c>
      <c r="CL26">
        <v>72.802352941176466</v>
      </c>
      <c r="CM26">
        <v>88.68</v>
      </c>
      <c r="CO26">
        <v>4.16</v>
      </c>
      <c r="CP26">
        <v>6.3347058823529414</v>
      </c>
      <c r="CQ26">
        <v>1.26</v>
      </c>
      <c r="CS26">
        <v>0.28000000000000003</v>
      </c>
      <c r="CT26">
        <v>3.1511764705882355</v>
      </c>
      <c r="CU26">
        <v>1.47</v>
      </c>
      <c r="CW26">
        <v>45.16</v>
      </c>
      <c r="CX26" t="s">
        <v>78</v>
      </c>
      <c r="CY26">
        <v>47.64</v>
      </c>
      <c r="DA26">
        <v>23.91</v>
      </c>
      <c r="DB26" t="s">
        <v>78</v>
      </c>
      <c r="DC26">
        <v>29.67</v>
      </c>
    </row>
    <row r="27" spans="5:107" x14ac:dyDescent="0.25">
      <c r="CC27">
        <v>16.990000000000002</v>
      </c>
      <c r="CD27">
        <v>19.191764705882356</v>
      </c>
      <c r="CE27">
        <v>11.14</v>
      </c>
      <c r="CG27">
        <v>135.12</v>
      </c>
      <c r="CH27">
        <v>130.50705882352938</v>
      </c>
      <c r="CI27">
        <v>129.19</v>
      </c>
      <c r="CK27">
        <v>84.11</v>
      </c>
      <c r="CL27">
        <v>72.802352941176466</v>
      </c>
      <c r="CM27">
        <v>95.04</v>
      </c>
      <c r="CO27">
        <v>3.97</v>
      </c>
      <c r="CP27">
        <v>6.3347058823529414</v>
      </c>
      <c r="CQ27">
        <v>4.2300000000000004</v>
      </c>
      <c r="CS27">
        <v>5.51</v>
      </c>
      <c r="CT27">
        <v>3.1511764705882355</v>
      </c>
      <c r="CU27">
        <v>4.88</v>
      </c>
      <c r="CW27">
        <v>43.15</v>
      </c>
      <c r="CX27" t="s">
        <v>78</v>
      </c>
      <c r="CY27">
        <v>45.82</v>
      </c>
      <c r="DA27">
        <v>24.19</v>
      </c>
      <c r="DB27" t="s">
        <v>78</v>
      </c>
      <c r="DC27">
        <v>28.26</v>
      </c>
    </row>
    <row r="28" spans="5:107" x14ac:dyDescent="0.25">
      <c r="CC28">
        <v>15.83</v>
      </c>
      <c r="CD28">
        <v>19.191764705882356</v>
      </c>
      <c r="CE28">
        <v>15.434999999999999</v>
      </c>
      <c r="CG28">
        <v>130.03086956521739</v>
      </c>
      <c r="CH28">
        <v>130.50705882352938</v>
      </c>
      <c r="CI28">
        <v>133.79</v>
      </c>
      <c r="CK28">
        <v>86.51</v>
      </c>
      <c r="CL28">
        <v>72.802352941176466</v>
      </c>
      <c r="CM28">
        <v>100.27</v>
      </c>
      <c r="CO28">
        <v>3.7608695652173907</v>
      </c>
      <c r="CP28">
        <v>6.3347058823529414</v>
      </c>
      <c r="CQ28">
        <v>1.49</v>
      </c>
      <c r="CS28">
        <v>1.2895652173913041</v>
      </c>
      <c r="CT28">
        <v>3.1511764705882355</v>
      </c>
      <c r="CU28">
        <v>10.44</v>
      </c>
      <c r="CW28" t="s">
        <v>78</v>
      </c>
      <c r="CX28" t="s">
        <v>78</v>
      </c>
      <c r="CY28">
        <v>46.79</v>
      </c>
      <c r="DA28" t="s">
        <v>78</v>
      </c>
      <c r="DB28" t="s">
        <v>78</v>
      </c>
      <c r="DC28">
        <v>33.08</v>
      </c>
    </row>
    <row r="29" spans="5:107" x14ac:dyDescent="0.25">
      <c r="CC29">
        <v>17.618260869565216</v>
      </c>
      <c r="CD29">
        <v>19.191764705882356</v>
      </c>
      <c r="CE29">
        <v>18.685000000000002</v>
      </c>
      <c r="CG29">
        <v>130.03086956521739</v>
      </c>
      <c r="CH29">
        <v>130.50705882352938</v>
      </c>
      <c r="CI29">
        <v>127.82</v>
      </c>
      <c r="CK29">
        <v>85.275217391304338</v>
      </c>
      <c r="CL29">
        <v>72.802352941176466</v>
      </c>
      <c r="CM29">
        <v>102.32</v>
      </c>
      <c r="CO29">
        <v>3.7608695652173907</v>
      </c>
      <c r="CP29">
        <v>6.3347058823529414</v>
      </c>
      <c r="CQ29">
        <v>2.46</v>
      </c>
      <c r="CS29">
        <v>1.2895652173913041</v>
      </c>
      <c r="CT29">
        <v>3.1511764705882355</v>
      </c>
      <c r="CU29">
        <v>2.8</v>
      </c>
      <c r="CW29" t="s">
        <v>78</v>
      </c>
      <c r="CX29" t="s">
        <v>78</v>
      </c>
      <c r="CY29">
        <v>51.21</v>
      </c>
      <c r="DA29" t="s">
        <v>78</v>
      </c>
      <c r="DB29" t="s">
        <v>78</v>
      </c>
      <c r="DC29">
        <v>31.96</v>
      </c>
    </row>
    <row r="30" spans="5:107" x14ac:dyDescent="0.25">
      <c r="CC30">
        <v>17.618260869565216</v>
      </c>
      <c r="CD30">
        <v>19.191764705882356</v>
      </c>
      <c r="CE30">
        <v>15.19</v>
      </c>
      <c r="CG30">
        <v>130.03086956521739</v>
      </c>
      <c r="CH30">
        <v>130.50705882352938</v>
      </c>
      <c r="CI30">
        <v>127.17</v>
      </c>
      <c r="CK30">
        <v>85.275217391304338</v>
      </c>
      <c r="CL30">
        <v>72.802352941176466</v>
      </c>
      <c r="CM30">
        <v>96.68</v>
      </c>
      <c r="CO30">
        <v>3.7608695652173907</v>
      </c>
      <c r="CP30">
        <v>6.3347058823529414</v>
      </c>
      <c r="CQ30">
        <v>1.88</v>
      </c>
      <c r="CS30">
        <v>1.2895652173913041</v>
      </c>
      <c r="CT30">
        <v>3.1511764705882355</v>
      </c>
      <c r="CU30">
        <v>3.43</v>
      </c>
      <c r="CW30" t="s">
        <v>78</v>
      </c>
      <c r="CX30" t="s">
        <v>78</v>
      </c>
      <c r="CY30">
        <v>51.33</v>
      </c>
      <c r="DA30" t="s">
        <v>78</v>
      </c>
      <c r="DB30" t="s">
        <v>78</v>
      </c>
      <c r="DC30">
        <v>34.82</v>
      </c>
    </row>
    <row r="31" spans="5:107" x14ac:dyDescent="0.25">
      <c r="CC31">
        <v>17.618260869565216</v>
      </c>
      <c r="CD31">
        <v>19.191764705882356</v>
      </c>
      <c r="CE31">
        <v>18.57</v>
      </c>
      <c r="CG31">
        <v>130.03086956521739</v>
      </c>
      <c r="CH31">
        <v>130.50705882352938</v>
      </c>
      <c r="CI31">
        <v>133.35</v>
      </c>
      <c r="CK31">
        <v>85.275217391304338</v>
      </c>
      <c r="CL31">
        <v>72.802352941176466</v>
      </c>
      <c r="CM31">
        <v>93.8</v>
      </c>
      <c r="CO31">
        <v>3.7608695652173907</v>
      </c>
      <c r="CP31">
        <v>6.3347058823529414</v>
      </c>
      <c r="CQ31">
        <v>5.91</v>
      </c>
      <c r="CS31">
        <v>1.2895652173913041</v>
      </c>
      <c r="CT31">
        <v>3.1511764705882355</v>
      </c>
      <c r="CU31">
        <v>0.42</v>
      </c>
      <c r="CW31" t="s">
        <v>78</v>
      </c>
      <c r="CX31" t="s">
        <v>78</v>
      </c>
      <c r="CY31">
        <v>49.75</v>
      </c>
      <c r="DA31" t="s">
        <v>78</v>
      </c>
      <c r="DB31" t="s">
        <v>78</v>
      </c>
      <c r="DC31">
        <v>32.909999999999997</v>
      </c>
    </row>
    <row r="32" spans="5:107" x14ac:dyDescent="0.25">
      <c r="CC32">
        <v>17.618260869565216</v>
      </c>
      <c r="CD32">
        <v>19.191764705882356</v>
      </c>
      <c r="CE32">
        <v>17.239999999999998</v>
      </c>
      <c r="CG32">
        <v>130.03086956521739</v>
      </c>
      <c r="CH32">
        <v>130.50705882352938</v>
      </c>
      <c r="CI32">
        <v>123.47</v>
      </c>
      <c r="CK32">
        <v>85.275217391304338</v>
      </c>
      <c r="CL32">
        <v>72.802352941176466</v>
      </c>
      <c r="CM32">
        <v>90.92</v>
      </c>
      <c r="CO32">
        <v>3.7608695652173907</v>
      </c>
      <c r="CP32">
        <v>6.3347058823529414</v>
      </c>
      <c r="CQ32">
        <v>4.6500000000000004</v>
      </c>
      <c r="CS32">
        <v>1.2895652173913041</v>
      </c>
      <c r="CT32">
        <v>3.1511764705882355</v>
      </c>
      <c r="CU32">
        <v>1.08</v>
      </c>
      <c r="CW32" t="s">
        <v>78</v>
      </c>
      <c r="CX32" t="s">
        <v>78</v>
      </c>
      <c r="CY32">
        <v>45.8</v>
      </c>
      <c r="DA32" t="s">
        <v>78</v>
      </c>
      <c r="DB32" t="s">
        <v>78</v>
      </c>
      <c r="DC32">
        <v>27.59</v>
      </c>
    </row>
    <row r="33" spans="81:107" x14ac:dyDescent="0.25">
      <c r="CC33">
        <v>17.618260869565216</v>
      </c>
      <c r="CD33">
        <v>19.191764705882356</v>
      </c>
      <c r="CE33">
        <v>10.83</v>
      </c>
      <c r="CG33">
        <v>130.03086956521739</v>
      </c>
      <c r="CH33">
        <v>130.50705882352938</v>
      </c>
      <c r="CI33">
        <v>136.84</v>
      </c>
      <c r="CK33">
        <v>85.275217391304338</v>
      </c>
      <c r="CL33">
        <v>72.802352941176466</v>
      </c>
      <c r="CM33">
        <v>89.25</v>
      </c>
      <c r="CO33">
        <v>3.7608695652173907</v>
      </c>
      <c r="CP33">
        <v>6.3347058823529414</v>
      </c>
      <c r="CQ33">
        <v>5.04</v>
      </c>
      <c r="CS33">
        <v>1.2895652173913041</v>
      </c>
      <c r="CT33">
        <v>3.1511764705882355</v>
      </c>
      <c r="CU33">
        <v>2.67</v>
      </c>
      <c r="CW33" t="s">
        <v>78</v>
      </c>
      <c r="CX33" t="s">
        <v>78</v>
      </c>
      <c r="CY33">
        <v>51.56</v>
      </c>
      <c r="DA33" t="s">
        <v>78</v>
      </c>
      <c r="DB33" t="s">
        <v>78</v>
      </c>
      <c r="DC33">
        <v>32.36</v>
      </c>
    </row>
    <row r="34" spans="81:107" x14ac:dyDescent="0.25">
      <c r="CC34">
        <v>17.618260869565216</v>
      </c>
      <c r="CD34">
        <v>19.191764705882356</v>
      </c>
      <c r="CE34">
        <v>16.61</v>
      </c>
      <c r="CG34">
        <v>130.03086956521739</v>
      </c>
      <c r="CH34">
        <v>130.50705882352938</v>
      </c>
      <c r="CI34">
        <v>121.89</v>
      </c>
      <c r="CK34">
        <v>85.275217391304338</v>
      </c>
      <c r="CL34">
        <v>72.802352941176466</v>
      </c>
      <c r="CM34">
        <v>87.42</v>
      </c>
      <c r="CO34">
        <v>3.7608695652173907</v>
      </c>
      <c r="CP34">
        <v>6.3347058823529414</v>
      </c>
      <c r="CQ34">
        <v>1.41</v>
      </c>
      <c r="CS34">
        <v>1.2895652173913041</v>
      </c>
      <c r="CT34">
        <v>3.1511764705882355</v>
      </c>
      <c r="CU34">
        <v>1.06</v>
      </c>
      <c r="CW34" t="s">
        <v>78</v>
      </c>
      <c r="CX34" t="s">
        <v>78</v>
      </c>
      <c r="CY34">
        <v>54.81</v>
      </c>
      <c r="DA34" t="s">
        <v>78</v>
      </c>
      <c r="DB34" t="s">
        <v>78</v>
      </c>
      <c r="DC34">
        <v>29.49</v>
      </c>
    </row>
    <row r="35" spans="81:107" x14ac:dyDescent="0.25">
      <c r="CC35">
        <v>17.618260869565216</v>
      </c>
      <c r="CD35">
        <v>19.191764705882356</v>
      </c>
      <c r="CE35">
        <v>16.914999999999999</v>
      </c>
      <c r="CK35">
        <v>85.275217391304338</v>
      </c>
      <c r="CL35">
        <v>72.802352941176466</v>
      </c>
      <c r="CM35">
        <v>90.14</v>
      </c>
    </row>
  </sheetData>
  <mergeCells count="12">
    <mergeCell ref="Q2:Q3"/>
    <mergeCell ref="E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</mergeCells>
  <conditionalFormatting sqref="AI5:AI23">
    <cfRule type="cellIs" dxfId="0" priority="1" operator="lessThan">
      <formula>0.05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0F56F-389C-41ED-BB20-4DFCDE59F294}">
  <dimension ref="A1:AB89"/>
  <sheetViews>
    <sheetView topLeftCell="N29" workbookViewId="0">
      <selection activeCell="Q31" sqref="Q31"/>
    </sheetView>
  </sheetViews>
  <sheetFormatPr baseColWidth="10" defaultRowHeight="15" x14ac:dyDescent="0.25"/>
  <sheetData>
    <row r="1" spans="1:28" x14ac:dyDescent="0.25">
      <c r="C1" t="s">
        <v>265</v>
      </c>
      <c r="D1" t="s">
        <v>265</v>
      </c>
      <c r="E1" t="s">
        <v>265</v>
      </c>
      <c r="F1" t="s">
        <v>265</v>
      </c>
      <c r="G1" t="s">
        <v>265</v>
      </c>
      <c r="H1" t="s">
        <v>265</v>
      </c>
      <c r="M1" t="s">
        <v>266</v>
      </c>
      <c r="N1" t="s">
        <v>266</v>
      </c>
      <c r="O1" t="s">
        <v>266</v>
      </c>
      <c r="P1" t="s">
        <v>266</v>
      </c>
      <c r="Q1" t="s">
        <v>266</v>
      </c>
      <c r="R1" t="s">
        <v>266</v>
      </c>
      <c r="W1" t="s">
        <v>267</v>
      </c>
      <c r="X1" t="s">
        <v>267</v>
      </c>
      <c r="Y1" t="s">
        <v>267</v>
      </c>
      <c r="Z1" t="s">
        <v>267</v>
      </c>
      <c r="AA1" t="s">
        <v>267</v>
      </c>
      <c r="AB1" t="s">
        <v>267</v>
      </c>
    </row>
    <row r="2" spans="1:28" x14ac:dyDescent="0.25">
      <c r="A2" t="s">
        <v>198</v>
      </c>
      <c r="C2" s="2" t="s">
        <v>79</v>
      </c>
      <c r="D2" s="39" t="s">
        <v>27</v>
      </c>
      <c r="E2" s="40" t="s">
        <v>28</v>
      </c>
      <c r="F2" s="41" t="s">
        <v>29</v>
      </c>
      <c r="G2" s="6" t="s">
        <v>30</v>
      </c>
      <c r="H2" s="42" t="s">
        <v>80</v>
      </c>
      <c r="K2" t="s">
        <v>198</v>
      </c>
      <c r="M2" s="2" t="s">
        <v>79</v>
      </c>
      <c r="N2" s="39" t="s">
        <v>27</v>
      </c>
      <c r="O2" s="40" t="s">
        <v>28</v>
      </c>
      <c r="P2" s="41" t="s">
        <v>29</v>
      </c>
      <c r="Q2" s="6" t="s">
        <v>30</v>
      </c>
      <c r="R2" s="42" t="s">
        <v>80</v>
      </c>
      <c r="U2" t="s">
        <v>198</v>
      </c>
      <c r="W2" s="2" t="s">
        <v>79</v>
      </c>
      <c r="X2" s="39" t="s">
        <v>27</v>
      </c>
      <c r="Y2" s="40" t="s">
        <v>28</v>
      </c>
      <c r="Z2" s="41" t="s">
        <v>29</v>
      </c>
      <c r="AA2" s="6" t="s">
        <v>30</v>
      </c>
      <c r="AB2" s="42" t="s">
        <v>80</v>
      </c>
    </row>
    <row r="3" spans="1:28" x14ac:dyDescent="0.25">
      <c r="B3" t="s">
        <v>67</v>
      </c>
      <c r="C3" s="2" t="s">
        <v>268</v>
      </c>
      <c r="D3" s="2" t="s">
        <v>269</v>
      </c>
      <c r="E3" s="2" t="s">
        <v>270</v>
      </c>
      <c r="F3" s="2" t="s">
        <v>271</v>
      </c>
      <c r="G3" s="2" t="s">
        <v>272</v>
      </c>
      <c r="H3" s="2" t="s">
        <v>273</v>
      </c>
      <c r="L3" t="s">
        <v>67</v>
      </c>
      <c r="M3" s="2" t="s">
        <v>274</v>
      </c>
      <c r="N3" s="2" t="s">
        <v>275</v>
      </c>
      <c r="O3" s="2" t="s">
        <v>276</v>
      </c>
      <c r="P3" s="2" t="s">
        <v>277</v>
      </c>
      <c r="Q3" s="2" t="s">
        <v>278</v>
      </c>
      <c r="R3" s="2" t="s">
        <v>279</v>
      </c>
      <c r="V3" t="s">
        <v>67</v>
      </c>
      <c r="W3" s="2" t="s">
        <v>280</v>
      </c>
      <c r="X3" s="2" t="s">
        <v>281</v>
      </c>
      <c r="Y3" s="2" t="s">
        <v>282</v>
      </c>
      <c r="Z3" s="2" t="s">
        <v>283</v>
      </c>
      <c r="AA3" s="2" t="s">
        <v>284</v>
      </c>
      <c r="AB3" s="2" t="s">
        <v>285</v>
      </c>
    </row>
    <row r="4" spans="1:28" x14ac:dyDescent="0.25">
      <c r="A4" t="s">
        <v>197</v>
      </c>
      <c r="B4">
        <v>8.875</v>
      </c>
      <c r="C4" s="43">
        <v>128.91</v>
      </c>
      <c r="D4" s="44">
        <v>84.37</v>
      </c>
      <c r="E4" s="45">
        <v>2.67</v>
      </c>
      <c r="F4" s="46">
        <v>2.08</v>
      </c>
      <c r="G4" s="47">
        <v>43.43</v>
      </c>
      <c r="H4" s="48">
        <v>25.41</v>
      </c>
      <c r="K4" t="s">
        <v>199</v>
      </c>
      <c r="L4">
        <v>19.805</v>
      </c>
      <c r="M4" s="50">
        <v>131.99</v>
      </c>
      <c r="N4" s="39">
        <v>74.510000000000005</v>
      </c>
      <c r="O4" s="40">
        <v>5.89</v>
      </c>
      <c r="P4" s="41">
        <v>1.04</v>
      </c>
      <c r="Q4" s="6">
        <v>47.3</v>
      </c>
      <c r="R4" s="51">
        <v>27.17</v>
      </c>
      <c r="U4" t="s">
        <v>196</v>
      </c>
      <c r="V4">
        <v>18.204999999999998</v>
      </c>
      <c r="W4" s="2">
        <v>130.22</v>
      </c>
      <c r="X4" s="3">
        <v>87.83</v>
      </c>
      <c r="Y4" s="9">
        <v>4.01</v>
      </c>
      <c r="Z4" s="5">
        <v>4.1100000000000003</v>
      </c>
      <c r="AA4" s="6">
        <v>50.43</v>
      </c>
      <c r="AB4" s="7">
        <v>28.6</v>
      </c>
    </row>
    <row r="5" spans="1:28" x14ac:dyDescent="0.25">
      <c r="A5" t="s">
        <v>197</v>
      </c>
      <c r="B5">
        <v>10.98</v>
      </c>
      <c r="C5" s="43">
        <v>129.61000000000001</v>
      </c>
      <c r="D5" s="44">
        <v>83.62</v>
      </c>
      <c r="E5" s="45">
        <v>3.9</v>
      </c>
      <c r="F5" s="46">
        <v>2.33</v>
      </c>
      <c r="G5" s="47">
        <v>48.35</v>
      </c>
      <c r="H5" s="48">
        <v>26.68</v>
      </c>
      <c r="K5" t="s">
        <v>199</v>
      </c>
      <c r="L5">
        <v>17.074999999999999</v>
      </c>
      <c r="M5" s="50">
        <v>129.13999999999999</v>
      </c>
      <c r="N5" s="39">
        <v>71.81</v>
      </c>
      <c r="O5" s="40">
        <v>6.02</v>
      </c>
      <c r="P5" s="41">
        <v>2.09</v>
      </c>
      <c r="Q5" s="6">
        <v>46.73</v>
      </c>
      <c r="R5" s="51">
        <v>26.08</v>
      </c>
      <c r="U5" t="s">
        <v>196</v>
      </c>
      <c r="V5">
        <v>16.924999999999997</v>
      </c>
      <c r="W5" s="2">
        <v>128.88999999999999</v>
      </c>
      <c r="X5" s="3">
        <v>102.87</v>
      </c>
      <c r="Y5" s="9">
        <v>3.06</v>
      </c>
      <c r="Z5" s="5">
        <v>2.82</v>
      </c>
      <c r="AA5" s="6">
        <v>45.99</v>
      </c>
      <c r="AB5" s="7">
        <v>27.24</v>
      </c>
    </row>
    <row r="6" spans="1:28" x14ac:dyDescent="0.25">
      <c r="A6" t="s">
        <v>197</v>
      </c>
      <c r="B6">
        <v>12.61</v>
      </c>
      <c r="C6" s="2">
        <v>133.56</v>
      </c>
      <c r="D6" s="39">
        <v>85.88</v>
      </c>
      <c r="E6" s="40">
        <v>3.11</v>
      </c>
      <c r="F6" s="41">
        <v>-3.34</v>
      </c>
      <c r="G6" s="6">
        <v>43.7</v>
      </c>
      <c r="H6" s="42">
        <v>25.38</v>
      </c>
      <c r="K6" t="s">
        <v>199</v>
      </c>
      <c r="L6">
        <v>17.690000000000001</v>
      </c>
      <c r="M6" s="50">
        <v>132.02000000000001</v>
      </c>
      <c r="N6" s="39">
        <v>70.150000000000006</v>
      </c>
      <c r="O6" s="40">
        <v>7.89</v>
      </c>
      <c r="P6" s="41">
        <v>2.99</v>
      </c>
      <c r="Q6" s="6">
        <v>48.44</v>
      </c>
      <c r="R6" s="51">
        <v>29.28</v>
      </c>
      <c r="U6" t="s">
        <v>196</v>
      </c>
      <c r="V6">
        <v>17.155000000000001</v>
      </c>
      <c r="W6" s="2">
        <v>118.07</v>
      </c>
      <c r="X6" s="3">
        <v>96.24</v>
      </c>
      <c r="Y6" s="9">
        <v>6.07</v>
      </c>
      <c r="Z6" s="5">
        <v>0.79</v>
      </c>
      <c r="AA6" s="6">
        <v>44.43</v>
      </c>
      <c r="AB6" s="7">
        <v>27.65</v>
      </c>
    </row>
    <row r="7" spans="1:28" x14ac:dyDescent="0.25">
      <c r="A7" t="s">
        <v>197</v>
      </c>
      <c r="B7">
        <v>11.805</v>
      </c>
      <c r="C7" s="2">
        <v>131.19</v>
      </c>
      <c r="D7" s="39">
        <v>83.35</v>
      </c>
      <c r="E7" s="40">
        <v>2.93</v>
      </c>
      <c r="F7" s="41">
        <v>4.5199999999999996</v>
      </c>
      <c r="G7" s="6">
        <v>46.69</v>
      </c>
      <c r="H7" s="42">
        <v>24.72</v>
      </c>
      <c r="K7" t="s">
        <v>199</v>
      </c>
      <c r="L7">
        <v>23.675000000000001</v>
      </c>
      <c r="M7" s="50">
        <v>131.43</v>
      </c>
      <c r="N7" s="39">
        <v>71.510000000000005</v>
      </c>
      <c r="O7" s="40">
        <v>5.96</v>
      </c>
      <c r="P7" s="41">
        <v>0.97</v>
      </c>
      <c r="Q7" s="6">
        <v>51.34</v>
      </c>
      <c r="R7" s="51">
        <v>42.62</v>
      </c>
      <c r="U7" t="s">
        <v>196</v>
      </c>
      <c r="V7">
        <v>10.905000000000001</v>
      </c>
      <c r="W7" s="2">
        <v>131.84</v>
      </c>
      <c r="X7" s="3">
        <v>93.49</v>
      </c>
      <c r="Y7" s="9">
        <v>4.87</v>
      </c>
      <c r="Z7" s="5">
        <v>1.95</v>
      </c>
      <c r="AA7" s="6">
        <v>49.19</v>
      </c>
      <c r="AB7" s="7">
        <v>28.1</v>
      </c>
    </row>
    <row r="8" spans="1:28" x14ac:dyDescent="0.25">
      <c r="A8" t="s">
        <v>197</v>
      </c>
      <c r="B8">
        <v>24.545000000000002</v>
      </c>
      <c r="C8" s="2">
        <v>118.19</v>
      </c>
      <c r="D8" s="39">
        <v>86.17</v>
      </c>
      <c r="E8" s="40">
        <v>4.12</v>
      </c>
      <c r="F8" s="41">
        <v>-9.98</v>
      </c>
      <c r="G8" s="6">
        <v>43.87</v>
      </c>
      <c r="H8" s="42">
        <v>27.8</v>
      </c>
      <c r="K8" t="s">
        <v>199</v>
      </c>
      <c r="L8">
        <v>26.574999999999999</v>
      </c>
      <c r="M8" s="50">
        <v>121.85</v>
      </c>
      <c r="N8" s="39">
        <v>72.430000000000007</v>
      </c>
      <c r="O8" s="40">
        <v>6.74</v>
      </c>
      <c r="P8" s="41">
        <v>3.63</v>
      </c>
      <c r="Q8" s="6">
        <v>51.16</v>
      </c>
      <c r="R8" s="51">
        <v>47.1</v>
      </c>
      <c r="U8" t="s">
        <v>196</v>
      </c>
      <c r="V8">
        <v>25.314999999999998</v>
      </c>
      <c r="W8" s="2">
        <v>140.83000000000001</v>
      </c>
      <c r="X8" s="3">
        <v>88.4</v>
      </c>
      <c r="Y8" s="9">
        <v>4.3499999999999996</v>
      </c>
      <c r="Z8" s="5">
        <v>3.23</v>
      </c>
      <c r="AA8" s="6">
        <v>48.82</v>
      </c>
      <c r="AB8" s="7">
        <v>34.36</v>
      </c>
    </row>
    <row r="9" spans="1:28" x14ac:dyDescent="0.25">
      <c r="A9" t="s">
        <v>197</v>
      </c>
      <c r="B9">
        <v>24.3</v>
      </c>
      <c r="C9" s="2">
        <v>118.03</v>
      </c>
      <c r="D9" s="39">
        <v>86.64</v>
      </c>
      <c r="E9" s="40">
        <v>4.83</v>
      </c>
      <c r="F9" s="41">
        <v>0.08</v>
      </c>
      <c r="G9" s="6">
        <v>47.11</v>
      </c>
      <c r="H9" s="42">
        <v>30.15</v>
      </c>
      <c r="K9" t="s">
        <v>199</v>
      </c>
      <c r="L9">
        <v>18.810000000000002</v>
      </c>
      <c r="M9" s="50">
        <v>137.77000000000001</v>
      </c>
      <c r="N9" s="39">
        <v>72.53</v>
      </c>
      <c r="O9" s="40">
        <v>6.76</v>
      </c>
      <c r="P9" s="41">
        <v>5.16</v>
      </c>
      <c r="Q9" s="6">
        <v>48.6</v>
      </c>
      <c r="R9" s="51">
        <v>25.15</v>
      </c>
      <c r="U9" t="s">
        <v>196</v>
      </c>
      <c r="V9">
        <v>12.47</v>
      </c>
      <c r="W9" s="2">
        <v>120.64</v>
      </c>
      <c r="X9" s="3">
        <v>103.13</v>
      </c>
      <c r="Y9" s="9">
        <v>4.4800000000000004</v>
      </c>
      <c r="Z9" s="5">
        <v>1.84</v>
      </c>
      <c r="AA9" s="6">
        <v>45.66</v>
      </c>
      <c r="AB9" s="7">
        <v>28.52</v>
      </c>
    </row>
    <row r="10" spans="1:28" x14ac:dyDescent="0.25">
      <c r="A10" t="s">
        <v>197</v>
      </c>
      <c r="B10">
        <v>14.760000000000002</v>
      </c>
      <c r="C10" s="2">
        <v>133.12</v>
      </c>
      <c r="D10" s="39">
        <v>86.43</v>
      </c>
      <c r="E10" s="40">
        <v>5.69</v>
      </c>
      <c r="F10" s="41">
        <v>2.34</v>
      </c>
      <c r="G10" s="6">
        <v>43.1</v>
      </c>
      <c r="H10" s="42">
        <v>23.78</v>
      </c>
      <c r="K10" t="s">
        <v>199</v>
      </c>
      <c r="L10">
        <v>23.265000000000001</v>
      </c>
      <c r="M10" s="50">
        <v>128.91</v>
      </c>
      <c r="N10" s="39">
        <v>72.290000000000006</v>
      </c>
      <c r="O10" s="40">
        <v>7.81</v>
      </c>
      <c r="P10" s="41">
        <v>1.78</v>
      </c>
      <c r="Q10" s="6">
        <v>50.4</v>
      </c>
      <c r="R10" s="51">
        <v>35.58</v>
      </c>
      <c r="U10" t="s">
        <v>196</v>
      </c>
      <c r="V10">
        <v>20.655000000000001</v>
      </c>
      <c r="W10" s="2">
        <v>136.80000000000001</v>
      </c>
      <c r="X10" s="3">
        <v>94.39</v>
      </c>
      <c r="Y10" s="9">
        <v>1.06</v>
      </c>
      <c r="Z10" s="5">
        <v>2.96</v>
      </c>
      <c r="AA10" s="6">
        <v>44.43</v>
      </c>
      <c r="AB10" s="7">
        <v>28.55</v>
      </c>
    </row>
    <row r="11" spans="1:28" x14ac:dyDescent="0.25">
      <c r="A11" t="s">
        <v>197</v>
      </c>
      <c r="B11">
        <v>10.76</v>
      </c>
      <c r="C11" s="2">
        <v>124.43</v>
      </c>
      <c r="D11" s="39">
        <v>83.02</v>
      </c>
      <c r="E11" s="40">
        <v>1.92</v>
      </c>
      <c r="F11" s="41">
        <v>4.33</v>
      </c>
      <c r="G11" s="6">
        <v>46.11</v>
      </c>
      <c r="H11" s="42">
        <v>24.75</v>
      </c>
      <c r="K11" t="s">
        <v>199</v>
      </c>
      <c r="L11">
        <v>21.695</v>
      </c>
      <c r="M11" s="50">
        <v>133.69999999999999</v>
      </c>
      <c r="N11" s="39">
        <v>72.2</v>
      </c>
      <c r="O11" s="40">
        <v>5.87</v>
      </c>
      <c r="P11" s="41">
        <v>3.99</v>
      </c>
      <c r="Q11" s="6">
        <v>47.67</v>
      </c>
      <c r="R11" s="51">
        <v>29.29</v>
      </c>
      <c r="U11" t="s">
        <v>196</v>
      </c>
      <c r="V11">
        <v>7.93</v>
      </c>
      <c r="W11" s="2">
        <v>125.02</v>
      </c>
      <c r="X11" s="3">
        <v>108.46</v>
      </c>
      <c r="Y11" s="9">
        <v>6.62</v>
      </c>
      <c r="Z11" s="5">
        <v>3.32</v>
      </c>
      <c r="AA11" s="6">
        <v>48.87</v>
      </c>
      <c r="AB11" s="7">
        <v>31.91</v>
      </c>
    </row>
    <row r="12" spans="1:28" x14ac:dyDescent="0.25">
      <c r="A12" t="s">
        <v>197</v>
      </c>
      <c r="B12">
        <v>18.774999999999999</v>
      </c>
      <c r="C12" s="2">
        <v>136.32</v>
      </c>
      <c r="D12" s="39">
        <v>85.24</v>
      </c>
      <c r="E12" s="40">
        <v>0.56000000000000005</v>
      </c>
      <c r="F12" s="41">
        <v>1.63</v>
      </c>
      <c r="G12" s="6">
        <v>43.93</v>
      </c>
      <c r="H12" s="42">
        <v>24.78</v>
      </c>
      <c r="K12" t="s">
        <v>199</v>
      </c>
      <c r="L12">
        <v>17.045000000000002</v>
      </c>
      <c r="M12" s="50">
        <v>133.44</v>
      </c>
      <c r="N12" s="39">
        <v>74.260000000000005</v>
      </c>
      <c r="O12" s="40">
        <v>6.3</v>
      </c>
      <c r="P12" s="41">
        <v>1.52</v>
      </c>
      <c r="Q12" s="6">
        <v>47.12</v>
      </c>
      <c r="R12" s="51">
        <v>30.19</v>
      </c>
      <c r="U12" t="s">
        <v>196</v>
      </c>
      <c r="V12">
        <v>19.215</v>
      </c>
      <c r="W12" s="2">
        <v>131.46</v>
      </c>
      <c r="X12" s="3">
        <v>93.2</v>
      </c>
      <c r="Y12" s="9">
        <v>2.52</v>
      </c>
      <c r="Z12" s="5">
        <v>1.27</v>
      </c>
      <c r="AA12" s="6">
        <v>45.65</v>
      </c>
      <c r="AB12" s="7">
        <v>36.979999999999997</v>
      </c>
    </row>
    <row r="13" spans="1:28" x14ac:dyDescent="0.25">
      <c r="A13" t="s">
        <v>197</v>
      </c>
      <c r="B13">
        <v>14.074999999999999</v>
      </c>
      <c r="C13" s="2">
        <v>126.14</v>
      </c>
      <c r="D13" s="39">
        <v>84.16</v>
      </c>
      <c r="E13" s="40">
        <v>2.66</v>
      </c>
      <c r="F13" s="41">
        <v>3.91</v>
      </c>
      <c r="G13" s="6">
        <v>48.82</v>
      </c>
      <c r="H13" s="42">
        <v>23.14</v>
      </c>
      <c r="K13" t="s">
        <v>199</v>
      </c>
      <c r="L13">
        <v>20.434999999999999</v>
      </c>
      <c r="M13" s="50">
        <v>135.12</v>
      </c>
      <c r="N13" s="39">
        <v>74.61</v>
      </c>
      <c r="O13" s="40">
        <v>5.51</v>
      </c>
      <c r="P13" s="41">
        <v>4.04</v>
      </c>
      <c r="Q13" s="6">
        <v>51.96</v>
      </c>
      <c r="R13" s="51">
        <v>34.08</v>
      </c>
      <c r="U13" t="s">
        <v>196</v>
      </c>
      <c r="V13">
        <v>19.475000000000001</v>
      </c>
      <c r="W13" s="2">
        <v>124.96</v>
      </c>
      <c r="X13" s="3">
        <v>89.34</v>
      </c>
      <c r="Y13" s="9">
        <v>3.97</v>
      </c>
      <c r="Z13" s="5">
        <v>1.38</v>
      </c>
      <c r="AA13" s="6">
        <v>49.18</v>
      </c>
      <c r="AB13" s="7">
        <v>32.5</v>
      </c>
    </row>
    <row r="14" spans="1:28" x14ac:dyDescent="0.25">
      <c r="A14" t="s">
        <v>197</v>
      </c>
      <c r="B14">
        <v>18.46</v>
      </c>
      <c r="C14" s="2">
        <v>135.49</v>
      </c>
      <c r="D14" s="39">
        <v>84.66</v>
      </c>
      <c r="E14" s="40">
        <v>4.5199999999999996</v>
      </c>
      <c r="F14" s="41">
        <v>1.35</v>
      </c>
      <c r="G14" s="6">
        <v>44.57</v>
      </c>
      <c r="H14" s="42">
        <v>24.27</v>
      </c>
      <c r="K14" t="s">
        <v>199</v>
      </c>
      <c r="L14">
        <v>17.914999999999999</v>
      </c>
      <c r="M14" s="50">
        <v>121.28</v>
      </c>
      <c r="N14" s="39">
        <v>71.650000000000006</v>
      </c>
      <c r="O14" s="40">
        <v>6.72</v>
      </c>
      <c r="P14" s="41">
        <v>6.98</v>
      </c>
      <c r="Q14" s="6">
        <v>45.48</v>
      </c>
      <c r="R14" s="51">
        <v>31.39</v>
      </c>
      <c r="U14" t="s">
        <v>196</v>
      </c>
      <c r="V14">
        <v>12.015000000000001</v>
      </c>
      <c r="W14" s="2">
        <v>136.18</v>
      </c>
      <c r="X14" s="3">
        <v>89.71</v>
      </c>
      <c r="Y14" s="9">
        <v>4.87</v>
      </c>
      <c r="Z14" s="5">
        <v>2.58</v>
      </c>
      <c r="AA14" s="6">
        <v>43.33</v>
      </c>
      <c r="AB14" s="7">
        <v>30.94</v>
      </c>
    </row>
    <row r="15" spans="1:28" x14ac:dyDescent="0.25">
      <c r="A15" t="s">
        <v>197</v>
      </c>
      <c r="B15">
        <v>17.425000000000001</v>
      </c>
      <c r="C15" s="2">
        <v>134.11000000000001</v>
      </c>
      <c r="D15" s="39">
        <v>84.47</v>
      </c>
      <c r="E15" s="40">
        <v>4.07</v>
      </c>
      <c r="F15" s="41">
        <v>4.21</v>
      </c>
      <c r="G15" s="6">
        <v>48.23</v>
      </c>
      <c r="H15" s="42">
        <v>24.39</v>
      </c>
      <c r="K15" t="s">
        <v>199</v>
      </c>
      <c r="L15">
        <v>18.18</v>
      </c>
      <c r="M15" s="50">
        <v>129.83000000000001</v>
      </c>
      <c r="N15" s="39">
        <v>73.37</v>
      </c>
      <c r="O15" s="40">
        <v>5.43</v>
      </c>
      <c r="P15" s="41">
        <v>0.57999999999999996</v>
      </c>
      <c r="Q15" s="6">
        <v>48.83</v>
      </c>
      <c r="R15" s="51">
        <v>32.79</v>
      </c>
      <c r="U15" t="s">
        <v>196</v>
      </c>
      <c r="V15">
        <v>16.355</v>
      </c>
      <c r="W15" s="2">
        <v>131.4</v>
      </c>
      <c r="X15" s="3">
        <v>89.36</v>
      </c>
      <c r="Y15" s="9">
        <v>1.78</v>
      </c>
      <c r="Z15" s="5">
        <v>0.18</v>
      </c>
      <c r="AA15" s="6">
        <v>46.27</v>
      </c>
      <c r="AB15" s="7">
        <v>31.21</v>
      </c>
    </row>
    <row r="16" spans="1:28" x14ac:dyDescent="0.25">
      <c r="A16" t="s">
        <v>197</v>
      </c>
      <c r="B16">
        <v>18.274999999999999</v>
      </c>
      <c r="C16" s="2">
        <v>136.35</v>
      </c>
      <c r="D16" s="39">
        <v>83.34</v>
      </c>
      <c r="E16" s="40">
        <v>3.18</v>
      </c>
      <c r="F16" s="41">
        <v>3.9</v>
      </c>
      <c r="G16" s="6">
        <v>47.85</v>
      </c>
      <c r="H16" s="42">
        <v>26.61</v>
      </c>
      <c r="K16" t="s">
        <v>199</v>
      </c>
      <c r="L16">
        <v>17.645</v>
      </c>
      <c r="M16" s="50">
        <v>136.54</v>
      </c>
      <c r="N16" s="39">
        <v>72.989999999999995</v>
      </c>
      <c r="O16" s="40">
        <v>8.14</v>
      </c>
      <c r="P16" s="41">
        <v>2.6</v>
      </c>
      <c r="Q16" s="6">
        <v>45.03</v>
      </c>
      <c r="R16" s="51">
        <v>29.04</v>
      </c>
      <c r="U16" t="s">
        <v>196</v>
      </c>
      <c r="V16">
        <v>18.560000000000002</v>
      </c>
      <c r="W16" s="2">
        <v>127.16</v>
      </c>
      <c r="X16" s="3">
        <v>90.61</v>
      </c>
      <c r="Y16" s="9">
        <v>1.71</v>
      </c>
      <c r="Z16" s="5">
        <v>0.57999999999999996</v>
      </c>
      <c r="AA16" s="6">
        <v>49.36</v>
      </c>
      <c r="AB16" s="7">
        <v>26.72</v>
      </c>
    </row>
    <row r="17" spans="1:28" x14ac:dyDescent="0.25">
      <c r="A17" t="s">
        <v>197</v>
      </c>
      <c r="B17">
        <v>17.54</v>
      </c>
      <c r="C17" s="2">
        <v>126.85</v>
      </c>
      <c r="D17" s="39">
        <v>89.2</v>
      </c>
      <c r="E17" s="40">
        <v>3.56</v>
      </c>
      <c r="F17" s="41">
        <v>2.0099999999999998</v>
      </c>
      <c r="G17" s="6">
        <v>47.01</v>
      </c>
      <c r="H17" s="42">
        <v>32.619999999999997</v>
      </c>
      <c r="K17" t="s">
        <v>199</v>
      </c>
      <c r="L17">
        <v>20.490000000000002</v>
      </c>
      <c r="M17" s="50">
        <v>125.82</v>
      </c>
      <c r="N17" s="39">
        <v>71.180000000000007</v>
      </c>
      <c r="O17" s="40">
        <v>5.95</v>
      </c>
      <c r="P17" s="41">
        <v>2.19</v>
      </c>
      <c r="Q17" s="6">
        <v>54.76</v>
      </c>
      <c r="R17" s="51">
        <v>39.619999999999997</v>
      </c>
      <c r="U17" t="s">
        <v>196</v>
      </c>
      <c r="V17">
        <v>12.515000000000001</v>
      </c>
      <c r="W17" s="2">
        <v>117.68</v>
      </c>
      <c r="X17" s="3">
        <v>92.07</v>
      </c>
      <c r="Y17" s="9">
        <v>2.39</v>
      </c>
      <c r="Z17" s="5">
        <v>2.63</v>
      </c>
      <c r="AA17" s="6">
        <v>49.71</v>
      </c>
      <c r="AB17" s="7">
        <v>31.62</v>
      </c>
    </row>
    <row r="18" spans="1:28" x14ac:dyDescent="0.25">
      <c r="A18" t="s">
        <v>197</v>
      </c>
      <c r="B18">
        <v>19.555</v>
      </c>
      <c r="C18" s="2">
        <v>131.29</v>
      </c>
      <c r="D18" s="39">
        <v>84.03</v>
      </c>
      <c r="E18" s="40">
        <v>5.3</v>
      </c>
      <c r="F18" s="41">
        <v>1.61</v>
      </c>
      <c r="G18" s="6">
        <v>45.75</v>
      </c>
      <c r="H18" s="42">
        <v>24.94</v>
      </c>
      <c r="K18" t="s">
        <v>199</v>
      </c>
      <c r="L18">
        <v>16.225000000000001</v>
      </c>
      <c r="M18">
        <v>126.29</v>
      </c>
      <c r="N18">
        <v>75.34</v>
      </c>
      <c r="O18">
        <v>4.74</v>
      </c>
      <c r="P18">
        <v>3.81</v>
      </c>
      <c r="Q18">
        <v>47.63</v>
      </c>
      <c r="R18">
        <v>31.2</v>
      </c>
      <c r="U18" t="s">
        <v>196</v>
      </c>
      <c r="V18">
        <v>5.99</v>
      </c>
      <c r="W18" s="2">
        <v>122.34</v>
      </c>
      <c r="X18" s="3">
        <v>101.04</v>
      </c>
      <c r="Y18" s="9">
        <v>3.03</v>
      </c>
      <c r="Z18" s="5">
        <v>3.98</v>
      </c>
      <c r="AA18" s="6">
        <v>47.38</v>
      </c>
      <c r="AB18" s="7">
        <v>29.21</v>
      </c>
    </row>
    <row r="19" spans="1:28" x14ac:dyDescent="0.25">
      <c r="A19" t="s">
        <v>197</v>
      </c>
      <c r="B19">
        <v>22.25</v>
      </c>
      <c r="C19" s="2">
        <v>127.58</v>
      </c>
      <c r="D19" s="39">
        <v>88.39</v>
      </c>
      <c r="E19" s="40">
        <v>2.0699999999999998</v>
      </c>
      <c r="F19" s="41">
        <v>3.46</v>
      </c>
      <c r="G19" s="6">
        <v>43.62</v>
      </c>
      <c r="H19" s="42">
        <v>25.11</v>
      </c>
      <c r="K19" t="s">
        <v>199</v>
      </c>
      <c r="L19">
        <v>15.29</v>
      </c>
      <c r="M19">
        <v>126.22</v>
      </c>
      <c r="N19">
        <v>73.3</v>
      </c>
      <c r="O19">
        <v>5.72</v>
      </c>
      <c r="P19">
        <v>7.81</v>
      </c>
      <c r="Q19" s="6">
        <v>48.55</v>
      </c>
      <c r="R19">
        <v>27.4</v>
      </c>
      <c r="U19" t="s">
        <v>196</v>
      </c>
      <c r="V19">
        <v>19.364999999999998</v>
      </c>
      <c r="W19" s="2">
        <v>131.01</v>
      </c>
      <c r="X19" s="3">
        <v>88.68</v>
      </c>
      <c r="Y19" s="9">
        <v>6.73</v>
      </c>
      <c r="Z19" s="5">
        <v>0.19</v>
      </c>
      <c r="AA19" s="6">
        <v>47.45</v>
      </c>
      <c r="AB19" s="7">
        <v>29.55</v>
      </c>
    </row>
    <row r="20" spans="1:28" x14ac:dyDescent="0.25">
      <c r="A20" t="s">
        <v>197</v>
      </c>
      <c r="B20">
        <v>21.765000000000001</v>
      </c>
      <c r="C20" s="2">
        <v>133.80000000000001</v>
      </c>
      <c r="D20" s="39">
        <v>85.6</v>
      </c>
      <c r="E20" s="40">
        <v>4.3600000000000003</v>
      </c>
      <c r="F20" s="41">
        <v>0.09</v>
      </c>
      <c r="G20" s="6">
        <v>43.88</v>
      </c>
      <c r="H20" s="42">
        <v>24.97</v>
      </c>
      <c r="K20" t="s">
        <v>199</v>
      </c>
      <c r="L20">
        <v>14.445</v>
      </c>
      <c r="M20">
        <v>137.27000000000001</v>
      </c>
      <c r="N20">
        <v>73.510000000000005</v>
      </c>
      <c r="O20">
        <v>6.24</v>
      </c>
      <c r="P20">
        <v>2.39</v>
      </c>
      <c r="Q20">
        <v>47.95</v>
      </c>
      <c r="R20">
        <v>26.88</v>
      </c>
      <c r="U20" t="s">
        <v>196</v>
      </c>
      <c r="V20">
        <v>11.14</v>
      </c>
      <c r="W20" s="2">
        <v>125.48</v>
      </c>
      <c r="X20" s="3">
        <v>95.04</v>
      </c>
      <c r="Y20" s="9">
        <v>1.26</v>
      </c>
      <c r="Z20" s="5">
        <v>1.47</v>
      </c>
      <c r="AA20" s="6">
        <v>47.64</v>
      </c>
      <c r="AB20" s="7">
        <v>29.67</v>
      </c>
    </row>
    <row r="21" spans="1:28" x14ac:dyDescent="0.25">
      <c r="A21" t="s">
        <v>197</v>
      </c>
      <c r="B21">
        <v>22.950000000000003</v>
      </c>
      <c r="C21" s="2">
        <v>127.7</v>
      </c>
      <c r="D21" s="39">
        <v>83.65</v>
      </c>
      <c r="E21" s="40">
        <v>5.84</v>
      </c>
      <c r="F21" s="41">
        <v>0.37</v>
      </c>
      <c r="G21" s="6">
        <v>44.39</v>
      </c>
      <c r="H21" s="42">
        <v>27.18</v>
      </c>
      <c r="K21" t="s">
        <v>199</v>
      </c>
      <c r="L21">
        <v>13.705</v>
      </c>
      <c r="M21" s="50">
        <v>131.52000000000001</v>
      </c>
      <c r="N21" s="39">
        <v>67.86</v>
      </c>
      <c r="O21" s="40">
        <v>11.64</v>
      </c>
      <c r="P21" s="41">
        <v>3.32</v>
      </c>
      <c r="Q21" s="6">
        <v>52.6</v>
      </c>
      <c r="R21" s="51">
        <v>36</v>
      </c>
      <c r="U21" t="s">
        <v>196</v>
      </c>
      <c r="V21">
        <v>15.434999999999999</v>
      </c>
      <c r="W21" s="2">
        <v>129.19</v>
      </c>
      <c r="X21" s="3">
        <v>100.27</v>
      </c>
      <c r="Y21" s="9">
        <v>4.2300000000000004</v>
      </c>
      <c r="Z21" s="5">
        <v>4.88</v>
      </c>
      <c r="AA21" s="6">
        <v>45.82</v>
      </c>
      <c r="AB21" s="7">
        <v>28.26</v>
      </c>
    </row>
    <row r="22" spans="1:28" x14ac:dyDescent="0.25">
      <c r="A22" t="s">
        <v>197</v>
      </c>
      <c r="B22">
        <v>23.765000000000001</v>
      </c>
      <c r="C22" s="2">
        <v>124.72</v>
      </c>
      <c r="D22" s="39">
        <v>87.16</v>
      </c>
      <c r="E22" s="40">
        <v>4.17</v>
      </c>
      <c r="F22" s="41">
        <v>1.78</v>
      </c>
      <c r="G22" s="6">
        <v>45.33</v>
      </c>
      <c r="H22" s="42">
        <v>25.86</v>
      </c>
      <c r="K22" t="s">
        <v>199</v>
      </c>
      <c r="L22">
        <v>22.37</v>
      </c>
      <c r="M22" s="50">
        <v>127.51</v>
      </c>
      <c r="N22" s="39">
        <v>70.92</v>
      </c>
      <c r="O22" s="40">
        <v>6.91</v>
      </c>
      <c r="P22" s="41">
        <v>3.18</v>
      </c>
      <c r="Q22" s="6">
        <v>59.27</v>
      </c>
      <c r="R22" s="51">
        <v>43.03</v>
      </c>
      <c r="U22" t="s">
        <v>196</v>
      </c>
      <c r="V22">
        <v>18.685000000000002</v>
      </c>
      <c r="W22" s="2">
        <v>133.79</v>
      </c>
      <c r="X22" s="3">
        <v>102.32</v>
      </c>
      <c r="Y22" s="9">
        <v>1.49</v>
      </c>
      <c r="Z22" s="5">
        <v>10.44</v>
      </c>
      <c r="AA22" s="6">
        <v>46.79</v>
      </c>
      <c r="AB22" s="7">
        <v>33.08</v>
      </c>
    </row>
    <row r="23" spans="1:28" x14ac:dyDescent="0.25">
      <c r="A23" t="s">
        <v>197</v>
      </c>
      <c r="B23">
        <v>16.63</v>
      </c>
      <c r="C23" s="2">
        <v>134.15</v>
      </c>
      <c r="D23" s="39">
        <v>84.02</v>
      </c>
      <c r="E23" s="40">
        <v>3.69</v>
      </c>
      <c r="F23" s="41">
        <v>-0.28000000000000003</v>
      </c>
      <c r="G23" s="6">
        <v>47.56</v>
      </c>
      <c r="H23" s="42">
        <v>26.88</v>
      </c>
      <c r="K23" t="s">
        <v>199</v>
      </c>
      <c r="L23">
        <v>27.573308198025668</v>
      </c>
      <c r="M23" s="56">
        <v>138.15383332762181</v>
      </c>
      <c r="N23" s="56">
        <v>69.363383994012565</v>
      </c>
      <c r="O23" s="56">
        <v>5.8180745634743021</v>
      </c>
      <c r="P23" s="56">
        <v>2.5538514782876596</v>
      </c>
      <c r="Q23" s="56">
        <v>46.831097097137864</v>
      </c>
      <c r="R23" s="56">
        <v>32.955114667590472</v>
      </c>
      <c r="U23" t="s">
        <v>196</v>
      </c>
      <c r="V23">
        <v>15.19</v>
      </c>
      <c r="W23" s="2">
        <v>127.82</v>
      </c>
      <c r="X23" s="3">
        <v>96.68</v>
      </c>
      <c r="Y23" s="9">
        <v>2.46</v>
      </c>
      <c r="Z23" s="5">
        <v>2.8</v>
      </c>
      <c r="AA23" s="6">
        <v>51.21</v>
      </c>
      <c r="AB23" s="7">
        <v>31.96</v>
      </c>
    </row>
    <row r="24" spans="1:28" x14ac:dyDescent="0.25">
      <c r="A24" t="s">
        <v>197</v>
      </c>
      <c r="B24">
        <v>22.3</v>
      </c>
      <c r="C24" s="2">
        <v>129.49</v>
      </c>
      <c r="D24" s="39">
        <v>87.31</v>
      </c>
      <c r="E24" s="40">
        <v>5.22</v>
      </c>
      <c r="F24" s="41">
        <v>-2.5299999999999998</v>
      </c>
      <c r="G24" s="6">
        <v>46.65</v>
      </c>
      <c r="H24" s="42">
        <v>33.04</v>
      </c>
      <c r="K24" t="s">
        <v>199</v>
      </c>
      <c r="L24">
        <v>15.382416930769482</v>
      </c>
      <c r="M24" s="56">
        <v>129.06494508524389</v>
      </c>
      <c r="N24" s="56">
        <v>73.296494376296508</v>
      </c>
      <c r="O24" s="56">
        <v>6.8007635065640804</v>
      </c>
      <c r="P24" s="56">
        <v>2.6160986855412203</v>
      </c>
      <c r="Q24" s="56">
        <v>47.925740595529518</v>
      </c>
      <c r="R24" s="56">
        <v>32.053967048903004</v>
      </c>
      <c r="U24" t="s">
        <v>196</v>
      </c>
      <c r="V24">
        <v>18.57</v>
      </c>
      <c r="W24" s="2">
        <v>127.17</v>
      </c>
      <c r="X24" s="3">
        <v>93.8</v>
      </c>
      <c r="Y24" s="9">
        <v>1.88</v>
      </c>
      <c r="Z24" s="5">
        <v>3.43</v>
      </c>
      <c r="AA24" s="6">
        <v>51.33</v>
      </c>
      <c r="AB24" s="7">
        <v>34.82</v>
      </c>
    </row>
    <row r="25" spans="1:28" x14ac:dyDescent="0.25">
      <c r="A25" t="s">
        <v>197</v>
      </c>
      <c r="B25">
        <v>16.990000000000002</v>
      </c>
      <c r="C25" s="2">
        <v>134.56</v>
      </c>
      <c r="D25" s="39">
        <v>84.11</v>
      </c>
      <c r="E25" s="40">
        <v>4.16</v>
      </c>
      <c r="F25" s="41">
        <v>0.28000000000000003</v>
      </c>
      <c r="G25" s="6">
        <v>45.16</v>
      </c>
      <c r="H25" s="42">
        <v>23.91</v>
      </c>
      <c r="K25" t="s">
        <v>199</v>
      </c>
      <c r="L25">
        <v>18.208863235742221</v>
      </c>
      <c r="M25" s="56">
        <v>133.00454705685257</v>
      </c>
      <c r="N25" s="56">
        <v>72.45330120301945</v>
      </c>
      <c r="O25" s="56">
        <v>8.7247485588402718</v>
      </c>
      <c r="P25" s="56">
        <v>6.3925302289483241</v>
      </c>
      <c r="Q25" s="56">
        <v>50.030984652674292</v>
      </c>
      <c r="R25" s="56">
        <v>27.820704451267392</v>
      </c>
      <c r="U25" t="s">
        <v>196</v>
      </c>
      <c r="V25">
        <v>17.239999999999998</v>
      </c>
      <c r="W25" s="2">
        <v>133.35</v>
      </c>
      <c r="X25" s="3">
        <v>90.92</v>
      </c>
      <c r="Y25" s="9">
        <v>5.91</v>
      </c>
      <c r="Z25" s="5">
        <v>0.42</v>
      </c>
      <c r="AA25" s="6">
        <v>49.75</v>
      </c>
      <c r="AB25" s="7">
        <v>32.909999999999997</v>
      </c>
    </row>
    <row r="26" spans="1:28" x14ac:dyDescent="0.25">
      <c r="A26" t="s">
        <v>197</v>
      </c>
      <c r="B26">
        <v>15.83</v>
      </c>
      <c r="C26" s="2">
        <v>135.12</v>
      </c>
      <c r="D26" s="39">
        <v>86.51</v>
      </c>
      <c r="E26" s="40">
        <v>3.97</v>
      </c>
      <c r="F26" s="41">
        <v>5.51</v>
      </c>
      <c r="G26" s="6">
        <v>43.15</v>
      </c>
      <c r="H26" s="42">
        <v>24.19</v>
      </c>
      <c r="K26" t="s">
        <v>199</v>
      </c>
      <c r="L26">
        <v>15.089813275703385</v>
      </c>
      <c r="M26" s="56">
        <v>131.19891840504582</v>
      </c>
      <c r="N26" s="56">
        <v>70.448775074385523</v>
      </c>
      <c r="O26" s="56">
        <v>7.4835796956231242</v>
      </c>
      <c r="P26" s="56">
        <v>6.1706069722494385</v>
      </c>
      <c r="Q26" s="56">
        <v>50.943396797197003</v>
      </c>
      <c r="R26" s="56">
        <v>32.034588679704264</v>
      </c>
      <c r="U26" t="s">
        <v>196</v>
      </c>
      <c r="V26">
        <v>10.83</v>
      </c>
      <c r="W26" s="2">
        <v>123.47</v>
      </c>
      <c r="X26" s="3">
        <v>89.25</v>
      </c>
      <c r="Y26" s="9">
        <v>4.6500000000000004</v>
      </c>
      <c r="Z26" s="5">
        <v>1.08</v>
      </c>
      <c r="AA26" s="6">
        <v>45.8</v>
      </c>
      <c r="AB26" s="7">
        <v>27.59</v>
      </c>
    </row>
    <row r="27" spans="1:28" ht="15.75" thickBot="1" x14ac:dyDescent="0.3"/>
    <row r="28" spans="1:28" x14ac:dyDescent="0.25">
      <c r="K28" s="76"/>
      <c r="L28" s="76" t="s">
        <v>101</v>
      </c>
      <c r="U28" s="76"/>
      <c r="V28" s="76" t="s">
        <v>101</v>
      </c>
    </row>
    <row r="47" spans="7:18" x14ac:dyDescent="0.25">
      <c r="G47" t="s">
        <v>114</v>
      </c>
      <c r="L47" t="s">
        <v>67</v>
      </c>
      <c r="M47" s="2" t="s">
        <v>285</v>
      </c>
      <c r="N47" s="2" t="s">
        <v>281</v>
      </c>
      <c r="O47" s="2" t="s">
        <v>282</v>
      </c>
      <c r="P47" s="2" t="s">
        <v>283</v>
      </c>
      <c r="Q47" s="2" t="s">
        <v>284</v>
      </c>
      <c r="R47" s="2" t="s">
        <v>285</v>
      </c>
    </row>
    <row r="48" spans="7:18" x14ac:dyDescent="0.25">
      <c r="L48">
        <v>18.204999999999998</v>
      </c>
      <c r="M48" s="7">
        <v>28.6</v>
      </c>
      <c r="N48" s="3">
        <v>87.83</v>
      </c>
      <c r="O48" s="9">
        <v>4.01</v>
      </c>
      <c r="P48" s="5">
        <v>4.1100000000000003</v>
      </c>
      <c r="Q48" s="6">
        <v>50.43</v>
      </c>
      <c r="R48" s="7">
        <v>28.6</v>
      </c>
    </row>
    <row r="49" spans="1:18" x14ac:dyDescent="0.25">
      <c r="G49" t="s">
        <v>119</v>
      </c>
      <c r="H49" s="52">
        <f>CORREL(L48:L70,M48:M70)</f>
        <v>0.31863388284886163</v>
      </c>
      <c r="L49">
        <v>16.924999999999997</v>
      </c>
      <c r="M49" s="7">
        <v>27.24</v>
      </c>
      <c r="N49" s="3">
        <v>102.87</v>
      </c>
      <c r="O49" s="9">
        <v>3.06</v>
      </c>
      <c r="P49" s="5">
        <v>2.82</v>
      </c>
      <c r="Q49" s="6">
        <v>45.99</v>
      </c>
      <c r="R49" s="7">
        <v>27.24</v>
      </c>
    </row>
    <row r="50" spans="1:18" x14ac:dyDescent="0.25">
      <c r="G50" t="s">
        <v>122</v>
      </c>
      <c r="H50" s="53">
        <v>0.34980237154150201</v>
      </c>
      <c r="L50">
        <v>17.155000000000001</v>
      </c>
      <c r="M50" s="7">
        <v>27.65</v>
      </c>
      <c r="N50" s="3">
        <v>96.24</v>
      </c>
      <c r="O50" s="9">
        <v>6.07</v>
      </c>
      <c r="P50" s="5">
        <v>0.79</v>
      </c>
      <c r="Q50" s="6">
        <v>44.43</v>
      </c>
      <c r="R50" s="7">
        <v>27.65</v>
      </c>
    </row>
    <row r="51" spans="1:18" ht="15.75" thickBot="1" x14ac:dyDescent="0.3">
      <c r="G51" t="s">
        <v>125</v>
      </c>
      <c r="H51" s="54">
        <v>0.24110671936758893</v>
      </c>
      <c r="L51">
        <v>10.905000000000001</v>
      </c>
      <c r="M51" s="7">
        <v>28.1</v>
      </c>
      <c r="N51" s="3">
        <v>93.49</v>
      </c>
      <c r="O51" s="9">
        <v>4.87</v>
      </c>
      <c r="P51" s="5">
        <v>1.95</v>
      </c>
      <c r="Q51" s="6">
        <v>49.19</v>
      </c>
      <c r="R51" s="7">
        <v>28.1</v>
      </c>
    </row>
    <row r="52" spans="1:18" x14ac:dyDescent="0.25">
      <c r="B52" s="76"/>
      <c r="C52" s="76" t="s">
        <v>101</v>
      </c>
      <c r="D52" t="s">
        <v>53</v>
      </c>
      <c r="L52">
        <v>25.314999999999998</v>
      </c>
      <c r="M52" s="7">
        <v>34.36</v>
      </c>
      <c r="N52" s="3">
        <v>88.4</v>
      </c>
      <c r="O52" s="9">
        <v>4.3499999999999996</v>
      </c>
      <c r="P52" s="5">
        <v>3.23</v>
      </c>
      <c r="Q52" s="6">
        <v>48.82</v>
      </c>
      <c r="R52" s="7">
        <v>34.36</v>
      </c>
    </row>
    <row r="53" spans="1:18" x14ac:dyDescent="0.25">
      <c r="A53" t="s">
        <v>197</v>
      </c>
      <c r="B53" t="s">
        <v>79</v>
      </c>
      <c r="C53">
        <v>-0.31870676829073685</v>
      </c>
      <c r="D53">
        <v>0.13828825064602246</v>
      </c>
      <c r="G53" t="s">
        <v>134</v>
      </c>
      <c r="J53" t="s">
        <v>135</v>
      </c>
      <c r="L53">
        <v>12.47</v>
      </c>
      <c r="M53" s="7">
        <v>28.52</v>
      </c>
      <c r="N53" s="3">
        <v>103.13</v>
      </c>
      <c r="O53" s="9">
        <v>4.4800000000000004</v>
      </c>
      <c r="P53" s="5">
        <v>1.84</v>
      </c>
      <c r="Q53" s="6">
        <v>45.66</v>
      </c>
      <c r="R53" s="7">
        <v>28.52</v>
      </c>
    </row>
    <row r="54" spans="1:18" x14ac:dyDescent="0.25">
      <c r="B54" t="s">
        <v>27</v>
      </c>
      <c r="C54">
        <v>0.46860490079205691</v>
      </c>
      <c r="D54">
        <v>2.410912494406503E-2</v>
      </c>
      <c r="L54">
        <v>20.655000000000001</v>
      </c>
      <c r="M54" s="7">
        <v>28.55</v>
      </c>
      <c r="N54" s="3">
        <v>94.39</v>
      </c>
      <c r="O54" s="9">
        <v>1.06</v>
      </c>
      <c r="P54" s="5">
        <v>2.96</v>
      </c>
      <c r="Q54" s="6">
        <v>44.43</v>
      </c>
      <c r="R54" s="7">
        <v>28.55</v>
      </c>
    </row>
    <row r="55" spans="1:18" x14ac:dyDescent="0.25">
      <c r="B55" t="s">
        <v>28</v>
      </c>
      <c r="C55">
        <v>0.51383399209486169</v>
      </c>
      <c r="D55">
        <v>1.2140429945704523E-2</v>
      </c>
      <c r="G55" t="s">
        <v>138</v>
      </c>
      <c r="H55" s="52">
        <v>0.05</v>
      </c>
      <c r="J55" t="s">
        <v>141</v>
      </c>
      <c r="K55" s="52">
        <v>0</v>
      </c>
      <c r="L55">
        <v>7.93</v>
      </c>
      <c r="M55" s="7">
        <v>31.91</v>
      </c>
      <c r="N55" s="3">
        <v>108.46</v>
      </c>
      <c r="O55" s="9">
        <v>6.62</v>
      </c>
      <c r="P55" s="5">
        <v>3.32</v>
      </c>
      <c r="Q55" s="6">
        <v>48.87</v>
      </c>
      <c r="R55" s="7">
        <v>31.91</v>
      </c>
    </row>
    <row r="56" spans="1:18" x14ac:dyDescent="0.25">
      <c r="B56" t="s">
        <v>29</v>
      </c>
      <c r="C56">
        <v>-0.43446443246599004</v>
      </c>
      <c r="D56">
        <v>3.8303371514737727E-2</v>
      </c>
      <c r="G56" t="s">
        <v>142</v>
      </c>
      <c r="H56" s="54">
        <v>2</v>
      </c>
      <c r="J56" t="s">
        <v>138</v>
      </c>
      <c r="K56" s="53">
        <v>0.05</v>
      </c>
      <c r="L56">
        <v>19.215</v>
      </c>
      <c r="M56" s="7">
        <v>36.979999999999997</v>
      </c>
      <c r="N56" s="3">
        <v>93.2</v>
      </c>
      <c r="O56" s="9">
        <v>2.52</v>
      </c>
      <c r="P56" s="5">
        <v>1.27</v>
      </c>
      <c r="Q56" s="6">
        <v>45.65</v>
      </c>
      <c r="R56" s="7">
        <v>36.979999999999997</v>
      </c>
    </row>
    <row r="57" spans="1:18" x14ac:dyDescent="0.25">
      <c r="B57" t="s">
        <v>30</v>
      </c>
      <c r="C57">
        <v>-0.12646980482092191</v>
      </c>
      <c r="D57">
        <v>0.56527713808086399</v>
      </c>
      <c r="J57" t="s">
        <v>142</v>
      </c>
      <c r="K57" s="54">
        <v>2</v>
      </c>
      <c r="L57">
        <v>19.475000000000001</v>
      </c>
      <c r="M57" s="7">
        <v>32.5</v>
      </c>
      <c r="N57" s="3">
        <v>89.34</v>
      </c>
      <c r="O57" s="9">
        <v>3.97</v>
      </c>
      <c r="P57" s="5">
        <v>1.38</v>
      </c>
      <c r="Q57" s="6">
        <v>49.18</v>
      </c>
      <c r="R57" s="7">
        <v>32.5</v>
      </c>
    </row>
    <row r="58" spans="1:18" ht="15.75" thickBot="1" x14ac:dyDescent="0.3">
      <c r="B58" s="75" t="s">
        <v>80</v>
      </c>
      <c r="C58" s="75">
        <v>0.46047430830039526</v>
      </c>
      <c r="D58">
        <v>2.7027766593941349E-2</v>
      </c>
      <c r="G58" t="s">
        <v>148</v>
      </c>
      <c r="H58" s="52">
        <f>H49</f>
        <v>0.31863388284886163</v>
      </c>
      <c r="L58">
        <v>12.015000000000001</v>
      </c>
      <c r="M58" s="7">
        <v>30.94</v>
      </c>
      <c r="N58" s="3">
        <v>89.71</v>
      </c>
      <c r="O58" s="9">
        <v>4.87</v>
      </c>
      <c r="P58" s="5">
        <v>2.58</v>
      </c>
      <c r="Q58" s="6">
        <v>43.33</v>
      </c>
      <c r="R58" s="7">
        <v>30.94</v>
      </c>
    </row>
    <row r="59" spans="1:18" x14ac:dyDescent="0.25">
      <c r="A59" t="s">
        <v>199</v>
      </c>
      <c r="B59" t="s">
        <v>79</v>
      </c>
      <c r="C59">
        <v>-4.1238144657156472E-2</v>
      </c>
      <c r="D59">
        <v>0.85180085679707174</v>
      </c>
      <c r="G59" t="s">
        <v>151</v>
      </c>
      <c r="H59" s="53">
        <f>IFERROR(H58/H60,0)</f>
        <v>0.20684390810241174</v>
      </c>
      <c r="J59" t="s">
        <v>148</v>
      </c>
      <c r="K59" s="52">
        <f>H49</f>
        <v>0.31863388284886163</v>
      </c>
      <c r="L59">
        <v>16.355</v>
      </c>
      <c r="M59" s="7">
        <v>31.21</v>
      </c>
      <c r="N59" s="3">
        <v>89.36</v>
      </c>
      <c r="O59" s="9">
        <v>1.78</v>
      </c>
      <c r="P59" s="5">
        <v>0.18</v>
      </c>
      <c r="Q59" s="6">
        <v>46.27</v>
      </c>
      <c r="R59" s="7">
        <v>31.21</v>
      </c>
    </row>
    <row r="60" spans="1:18" x14ac:dyDescent="0.25">
      <c r="B60" t="s">
        <v>27</v>
      </c>
      <c r="C60">
        <v>-0.14558330863854027</v>
      </c>
      <c r="D60">
        <v>0.50745699356083818</v>
      </c>
      <c r="G60" t="s">
        <v>286</v>
      </c>
      <c r="H60" s="53">
        <v>1.5404557270843136</v>
      </c>
      <c r="J60" t="s">
        <v>151</v>
      </c>
      <c r="K60" s="53">
        <v>0.21320071635561041</v>
      </c>
      <c r="L60">
        <v>18.560000000000002</v>
      </c>
      <c r="M60" s="7">
        <v>26.72</v>
      </c>
      <c r="N60" s="3">
        <v>90.61</v>
      </c>
      <c r="O60" s="9">
        <v>1.71</v>
      </c>
      <c r="P60" s="5">
        <v>0.57999999999999996</v>
      </c>
      <c r="Q60" s="6">
        <v>49.36</v>
      </c>
      <c r="R60" s="7">
        <v>26.72</v>
      </c>
    </row>
    <row r="61" spans="1:18" x14ac:dyDescent="0.25">
      <c r="B61" t="s">
        <v>28</v>
      </c>
      <c r="C61">
        <v>-0.26582960842783326</v>
      </c>
      <c r="D61">
        <v>0.22020401296729508</v>
      </c>
      <c r="G61" t="s">
        <v>53</v>
      </c>
      <c r="H61" s="53">
        <v>0.1383834668550793</v>
      </c>
      <c r="J61" t="s">
        <v>289</v>
      </c>
      <c r="K61" s="53">
        <v>1.4763678260763466</v>
      </c>
      <c r="L61">
        <v>12.515000000000001</v>
      </c>
      <c r="M61" s="7">
        <v>31.62</v>
      </c>
      <c r="N61" s="3">
        <v>92.07</v>
      </c>
      <c r="O61" s="9">
        <v>2.39</v>
      </c>
      <c r="P61" s="5">
        <v>2.63</v>
      </c>
      <c r="Q61" s="6">
        <v>49.71</v>
      </c>
      <c r="R61" s="7">
        <v>31.62</v>
      </c>
    </row>
    <row r="62" spans="1:18" x14ac:dyDescent="0.25">
      <c r="B62" t="s">
        <v>29</v>
      </c>
      <c r="C62">
        <v>-0.26408801829733997</v>
      </c>
      <c r="D62">
        <v>0.22335549131065457</v>
      </c>
      <c r="G62" t="s">
        <v>68</v>
      </c>
      <c r="H62" s="53">
        <v>-0.11152157213849376</v>
      </c>
      <c r="J62" t="s">
        <v>53</v>
      </c>
      <c r="K62" s="53">
        <v>0.13984517501245275</v>
      </c>
      <c r="L62">
        <v>5.99</v>
      </c>
      <c r="M62" s="7">
        <v>29.21</v>
      </c>
      <c r="N62" s="3">
        <v>101.04</v>
      </c>
      <c r="O62" s="9">
        <v>3.03</v>
      </c>
      <c r="P62" s="5">
        <v>3.98</v>
      </c>
      <c r="Q62" s="6">
        <v>47.38</v>
      </c>
      <c r="R62" s="7">
        <v>29.21</v>
      </c>
    </row>
    <row r="63" spans="1:18" x14ac:dyDescent="0.25">
      <c r="B63" t="s">
        <v>30</v>
      </c>
      <c r="C63">
        <v>0.23394845891115271</v>
      </c>
      <c r="D63">
        <v>0.28264011864673877</v>
      </c>
      <c r="G63" t="s">
        <v>69</v>
      </c>
      <c r="H63" s="54">
        <v>0.74878933783621704</v>
      </c>
      <c r="J63" t="s">
        <v>68</v>
      </c>
      <c r="K63" s="53">
        <v>-0.10771586537539564</v>
      </c>
      <c r="L63">
        <v>19.364999999999998</v>
      </c>
      <c r="M63" s="7">
        <v>29.55</v>
      </c>
      <c r="N63" s="3">
        <v>88.68</v>
      </c>
      <c r="O63" s="9">
        <v>6.73</v>
      </c>
      <c r="P63" s="5">
        <v>0.19</v>
      </c>
      <c r="Q63" s="6">
        <v>47.45</v>
      </c>
      <c r="R63" s="7">
        <v>29.55</v>
      </c>
    </row>
    <row r="64" spans="1:18" ht="15.75" thickBot="1" x14ac:dyDescent="0.3">
      <c r="B64" s="75" t="s">
        <v>80</v>
      </c>
      <c r="C64" s="75">
        <v>0.5753235172570812</v>
      </c>
      <c r="D64">
        <v>4.0763694517276239E-3</v>
      </c>
      <c r="J64" t="s">
        <v>69</v>
      </c>
      <c r="K64" s="54">
        <v>0.64599062925238737</v>
      </c>
      <c r="L64">
        <v>11.14</v>
      </c>
      <c r="M64" s="7">
        <v>29.67</v>
      </c>
      <c r="N64" s="3">
        <v>95.04</v>
      </c>
      <c r="O64" s="9">
        <v>1.26</v>
      </c>
      <c r="P64" s="5">
        <v>1.47</v>
      </c>
      <c r="Q64" s="6">
        <v>47.64</v>
      </c>
      <c r="R64" s="7">
        <v>29.67</v>
      </c>
    </row>
    <row r="65" spans="1:18" x14ac:dyDescent="0.25">
      <c r="A65" t="s">
        <v>196</v>
      </c>
      <c r="B65" t="s">
        <v>79</v>
      </c>
      <c r="C65">
        <v>0.53625374351332467</v>
      </c>
      <c r="D65">
        <v>7.4000671983854285E-3</v>
      </c>
      <c r="L65">
        <v>15.434999999999999</v>
      </c>
      <c r="M65" s="7">
        <v>28.26</v>
      </c>
      <c r="N65" s="3">
        <v>100.27</v>
      </c>
      <c r="O65" s="9">
        <v>4.2300000000000004</v>
      </c>
      <c r="P65" s="5">
        <v>4.88</v>
      </c>
      <c r="Q65" s="6">
        <v>45.82</v>
      </c>
      <c r="R65" s="7">
        <v>28.26</v>
      </c>
    </row>
    <row r="66" spans="1:18" x14ac:dyDescent="0.25">
      <c r="B66" t="s">
        <v>27</v>
      </c>
      <c r="C66">
        <v>-0.44300370201002331</v>
      </c>
      <c r="D66">
        <v>3.3290206864009013E-2</v>
      </c>
      <c r="L66">
        <v>18.685000000000002</v>
      </c>
      <c r="M66" s="7">
        <v>33.08</v>
      </c>
      <c r="N66" s="3">
        <v>102.32</v>
      </c>
      <c r="O66" s="9">
        <v>1.49</v>
      </c>
      <c r="P66" s="5">
        <v>10.44</v>
      </c>
      <c r="Q66" s="6">
        <v>46.79</v>
      </c>
      <c r="R66" s="7">
        <v>33.08</v>
      </c>
    </row>
    <row r="67" spans="1:18" x14ac:dyDescent="0.25">
      <c r="B67" t="s">
        <v>28</v>
      </c>
      <c r="C67">
        <v>-0.16216882798367141</v>
      </c>
      <c r="D67">
        <v>0.45973830432756813</v>
      </c>
      <c r="L67">
        <v>15.19</v>
      </c>
      <c r="M67" s="7">
        <v>31.96</v>
      </c>
      <c r="N67" s="3">
        <v>96.68</v>
      </c>
      <c r="O67" s="9">
        <v>2.46</v>
      </c>
      <c r="P67" s="5">
        <v>2.8</v>
      </c>
      <c r="Q67" s="6">
        <v>51.21</v>
      </c>
      <c r="R67" s="7">
        <v>31.96</v>
      </c>
    </row>
    <row r="68" spans="1:18" x14ac:dyDescent="0.25">
      <c r="B68" t="s">
        <v>29</v>
      </c>
      <c r="C68">
        <v>2.0995919034841791E-2</v>
      </c>
      <c r="D68">
        <v>0.92424516156335879</v>
      </c>
      <c r="L68">
        <v>18.57</v>
      </c>
      <c r="M68" s="7">
        <v>34.82</v>
      </c>
      <c r="N68" s="3">
        <v>93.8</v>
      </c>
      <c r="O68" s="9">
        <v>1.88</v>
      </c>
      <c r="P68" s="5">
        <v>3.43</v>
      </c>
      <c r="Q68" s="6">
        <v>51.33</v>
      </c>
      <c r="R68" s="7">
        <v>34.82</v>
      </c>
    </row>
    <row r="69" spans="1:18" x14ac:dyDescent="0.25">
      <c r="B69" t="s">
        <v>30</v>
      </c>
      <c r="C69">
        <v>7.9691134624012991E-2</v>
      </c>
      <c r="D69">
        <v>0.71776471817363974</v>
      </c>
      <c r="G69" t="s">
        <v>114</v>
      </c>
      <c r="L69">
        <v>17.239999999999998</v>
      </c>
      <c r="M69" s="7">
        <v>32.909999999999997</v>
      </c>
      <c r="N69" s="3">
        <v>90.92</v>
      </c>
      <c r="O69" s="9">
        <v>5.91</v>
      </c>
      <c r="P69" s="5">
        <v>0.42</v>
      </c>
      <c r="Q69" s="6">
        <v>49.75</v>
      </c>
      <c r="R69" s="7">
        <v>32.909999999999997</v>
      </c>
    </row>
    <row r="70" spans="1:18" ht="15.75" thickBot="1" x14ac:dyDescent="0.3">
      <c r="B70" s="75" t="s">
        <v>80</v>
      </c>
      <c r="C70" s="75">
        <v>0.34980237154150201</v>
      </c>
      <c r="D70">
        <v>0.10179594567782946</v>
      </c>
      <c r="L70">
        <v>10.83</v>
      </c>
      <c r="M70" s="7">
        <v>27.59</v>
      </c>
      <c r="N70" s="3">
        <v>89.25</v>
      </c>
      <c r="O70" s="9">
        <v>4.6500000000000004</v>
      </c>
      <c r="P70" s="5">
        <v>1.08</v>
      </c>
      <c r="Q70" s="6">
        <v>45.8</v>
      </c>
      <c r="R70" s="7">
        <v>27.59</v>
      </c>
    </row>
    <row r="71" spans="1:18" x14ac:dyDescent="0.25">
      <c r="G71" t="s">
        <v>119</v>
      </c>
      <c r="H71" s="52">
        <f>CORREL(L48:L70,M48:M70)</f>
        <v>0.31863388284886163</v>
      </c>
    </row>
    <row r="72" spans="1:18" x14ac:dyDescent="0.25">
      <c r="G72" t="s">
        <v>122</v>
      </c>
      <c r="H72" s="53">
        <v>0.34980237154150201</v>
      </c>
      <c r="J72" t="s">
        <v>114</v>
      </c>
    </row>
    <row r="73" spans="1:18" x14ac:dyDescent="0.25">
      <c r="G73" t="s">
        <v>125</v>
      </c>
      <c r="H73" s="54">
        <v>0.24110671936758893</v>
      </c>
    </row>
    <row r="74" spans="1:18" x14ac:dyDescent="0.25">
      <c r="J74" t="s">
        <v>119</v>
      </c>
      <c r="K74" s="52">
        <f>CORREL(L48:L70,M48:M70)</f>
        <v>0.31863388284886163</v>
      </c>
    </row>
    <row r="75" spans="1:18" x14ac:dyDescent="0.25">
      <c r="G75" t="s">
        <v>130</v>
      </c>
      <c r="J75" t="s">
        <v>122</v>
      </c>
      <c r="K75" s="53">
        <v>0.34980237154150201</v>
      </c>
    </row>
    <row r="76" spans="1:18" x14ac:dyDescent="0.25">
      <c r="J76" t="s">
        <v>125</v>
      </c>
      <c r="K76" s="54">
        <v>0.24110671936758893</v>
      </c>
    </row>
    <row r="77" spans="1:18" x14ac:dyDescent="0.25">
      <c r="G77" t="s">
        <v>138</v>
      </c>
      <c r="H77" s="52">
        <v>0.05</v>
      </c>
    </row>
    <row r="78" spans="1:18" x14ac:dyDescent="0.25">
      <c r="G78" t="s">
        <v>142</v>
      </c>
      <c r="H78" s="54">
        <v>2</v>
      </c>
      <c r="J78" t="s">
        <v>131</v>
      </c>
    </row>
    <row r="80" spans="1:18" x14ac:dyDescent="0.25">
      <c r="G80" t="s">
        <v>291</v>
      </c>
      <c r="H80" s="52">
        <v>0.34980237154150201</v>
      </c>
      <c r="J80" t="s">
        <v>138</v>
      </c>
      <c r="K80" s="52">
        <v>0.05</v>
      </c>
    </row>
    <row r="81" spans="7:11" x14ac:dyDescent="0.25">
      <c r="G81" t="s">
        <v>292</v>
      </c>
      <c r="H81" s="53">
        <v>1.7110969332181905</v>
      </c>
      <c r="J81" t="s">
        <v>142</v>
      </c>
      <c r="K81" s="54">
        <v>2</v>
      </c>
    </row>
    <row r="82" spans="7:11" x14ac:dyDescent="0.25">
      <c r="G82" t="s">
        <v>53</v>
      </c>
      <c r="H82" s="54">
        <v>0.10179594567782946</v>
      </c>
    </row>
    <row r="83" spans="7:11" x14ac:dyDescent="0.25">
      <c r="J83" t="s">
        <v>287</v>
      </c>
      <c r="K83" s="52">
        <v>0.24110671936758893</v>
      </c>
    </row>
    <row r="84" spans="7:11" x14ac:dyDescent="0.25">
      <c r="J84" t="s">
        <v>288</v>
      </c>
      <c r="K84" s="53">
        <v>0.14965925284829318</v>
      </c>
    </row>
    <row r="85" spans="7:11" x14ac:dyDescent="0.25">
      <c r="J85" t="s">
        <v>289</v>
      </c>
      <c r="K85" s="53">
        <v>1.6110378394845681</v>
      </c>
    </row>
    <row r="86" spans="7:11" x14ac:dyDescent="0.25">
      <c r="J86" t="s">
        <v>290</v>
      </c>
      <c r="K86" s="53">
        <v>1.9599639845400536</v>
      </c>
    </row>
    <row r="87" spans="7:11" x14ac:dyDescent="0.25">
      <c r="J87" t="s">
        <v>53</v>
      </c>
      <c r="K87" s="53">
        <v>0.10717147527008408</v>
      </c>
    </row>
    <row r="88" spans="7:11" x14ac:dyDescent="0.25">
      <c r="J88" t="s">
        <v>68</v>
      </c>
      <c r="K88" s="53">
        <v>-5.222002616823912E-2</v>
      </c>
    </row>
    <row r="89" spans="7:11" x14ac:dyDescent="0.25">
      <c r="J89" t="s">
        <v>69</v>
      </c>
      <c r="K89" s="54">
        <v>0.53443346490341703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29A73-DFED-402D-9994-197BF07C4A65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90491-3544-44F4-982B-042C440649E1}">
  <dimension ref="A1:CD117"/>
  <sheetViews>
    <sheetView topLeftCell="X48" zoomScale="70" zoomScaleNormal="70" workbookViewId="0">
      <selection activeCell="AN73" sqref="AN73:AO75"/>
    </sheetView>
  </sheetViews>
  <sheetFormatPr baseColWidth="10" defaultRowHeight="15" x14ac:dyDescent="0.25"/>
  <sheetData>
    <row r="1" spans="1:82" x14ac:dyDescent="0.25">
      <c r="A1" t="s">
        <v>198</v>
      </c>
      <c r="B1" t="s">
        <v>101</v>
      </c>
      <c r="C1" s="2" t="s">
        <v>79</v>
      </c>
      <c r="D1" s="39" t="s">
        <v>27</v>
      </c>
      <c r="E1" s="40" t="s">
        <v>28</v>
      </c>
      <c r="F1" s="41" t="s">
        <v>29</v>
      </c>
      <c r="G1" s="6" t="s">
        <v>30</v>
      </c>
      <c r="H1" s="42" t="s">
        <v>80</v>
      </c>
      <c r="K1" t="s">
        <v>198</v>
      </c>
      <c r="L1" s="40" t="s">
        <v>28</v>
      </c>
    </row>
    <row r="2" spans="1:82" x14ac:dyDescent="0.25">
      <c r="A2" t="s">
        <v>197</v>
      </c>
      <c r="B2">
        <v>8.875</v>
      </c>
      <c r="C2" s="43">
        <v>128.91</v>
      </c>
      <c r="D2" s="44">
        <v>84.37</v>
      </c>
      <c r="E2" s="45">
        <v>2.67</v>
      </c>
      <c r="F2" s="46">
        <v>2.08</v>
      </c>
      <c r="G2" s="47">
        <v>43.43</v>
      </c>
      <c r="H2" s="48">
        <v>25.41</v>
      </c>
      <c r="K2" t="s">
        <v>197</v>
      </c>
      <c r="L2" s="45">
        <v>2.67</v>
      </c>
      <c r="N2" t="s">
        <v>55</v>
      </c>
      <c r="BD2" t="s">
        <v>55</v>
      </c>
      <c r="BH2" t="s">
        <v>55</v>
      </c>
      <c r="BL2" t="s">
        <v>55</v>
      </c>
      <c r="BP2" t="s">
        <v>55</v>
      </c>
      <c r="BT2" t="s">
        <v>55</v>
      </c>
      <c r="BX2" t="s">
        <v>55</v>
      </c>
      <c r="CB2" t="s">
        <v>55</v>
      </c>
    </row>
    <row r="3" spans="1:82" x14ac:dyDescent="0.25">
      <c r="A3" t="s">
        <v>197</v>
      </c>
      <c r="B3">
        <v>10.98</v>
      </c>
      <c r="C3" s="43">
        <v>129.61000000000001</v>
      </c>
      <c r="D3" s="44">
        <v>83.62</v>
      </c>
      <c r="E3" s="45">
        <v>3.9</v>
      </c>
      <c r="F3" s="46">
        <v>2.33</v>
      </c>
      <c r="G3" s="47">
        <v>48.35</v>
      </c>
      <c r="H3" s="48">
        <v>26.68</v>
      </c>
      <c r="K3" t="s">
        <v>197</v>
      </c>
      <c r="L3" s="45">
        <v>3.9</v>
      </c>
      <c r="N3" t="str">
        <f>+L1</f>
        <v>ANB*</v>
      </c>
      <c r="R3" t="str">
        <f>+L1</f>
        <v>ANB*</v>
      </c>
      <c r="BD3" t="s">
        <v>79</v>
      </c>
      <c r="BH3" t="s">
        <v>101</v>
      </c>
      <c r="BL3" t="s">
        <v>27</v>
      </c>
      <c r="BP3" t="s">
        <v>28</v>
      </c>
      <c r="BT3" t="s">
        <v>29</v>
      </c>
      <c r="BX3" t="s">
        <v>30</v>
      </c>
      <c r="CB3" t="s">
        <v>80</v>
      </c>
    </row>
    <row r="4" spans="1:82" ht="15.75" thickBot="1" x14ac:dyDescent="0.3">
      <c r="A4" t="s">
        <v>197</v>
      </c>
      <c r="B4">
        <v>12.61</v>
      </c>
      <c r="C4" s="2">
        <v>133.56</v>
      </c>
      <c r="D4" s="39">
        <v>85.88</v>
      </c>
      <c r="E4" s="40">
        <v>3.11</v>
      </c>
      <c r="F4" s="41">
        <v>-3.34</v>
      </c>
      <c r="G4" s="6">
        <v>43.7</v>
      </c>
      <c r="H4" s="42">
        <v>25.38</v>
      </c>
      <c r="K4" t="s">
        <v>197</v>
      </c>
      <c r="L4" s="40">
        <v>3.11</v>
      </c>
      <c r="N4" t="s">
        <v>197</v>
      </c>
      <c r="O4" t="s">
        <v>199</v>
      </c>
      <c r="P4" t="s">
        <v>196</v>
      </c>
      <c r="R4" t="s">
        <v>200</v>
      </c>
      <c r="AB4" t="s">
        <v>221</v>
      </c>
      <c r="AH4" t="s">
        <v>230</v>
      </c>
      <c r="AK4" t="s">
        <v>235</v>
      </c>
      <c r="AN4" t="s">
        <v>228</v>
      </c>
      <c r="AO4">
        <v>0.05</v>
      </c>
      <c r="AV4" t="s">
        <v>243</v>
      </c>
      <c r="AY4" t="s">
        <v>228</v>
      </c>
      <c r="AZ4">
        <v>0.05</v>
      </c>
      <c r="BD4" t="s">
        <v>197</v>
      </c>
      <c r="BE4" t="s">
        <v>199</v>
      </c>
      <c r="BF4" t="s">
        <v>196</v>
      </c>
      <c r="BH4" t="s">
        <v>197</v>
      </c>
      <c r="BI4" t="s">
        <v>199</v>
      </c>
      <c r="BJ4" t="s">
        <v>196</v>
      </c>
      <c r="BL4" t="s">
        <v>197</v>
      </c>
      <c r="BM4" t="s">
        <v>199</v>
      </c>
      <c r="BN4" t="s">
        <v>196</v>
      </c>
      <c r="BP4" t="s">
        <v>197</v>
      </c>
      <c r="BQ4" t="s">
        <v>199</v>
      </c>
      <c r="BR4" t="s">
        <v>196</v>
      </c>
      <c r="BT4" t="s">
        <v>197</v>
      </c>
      <c r="BU4" t="s">
        <v>199</v>
      </c>
      <c r="BV4" t="s">
        <v>196</v>
      </c>
      <c r="BX4" t="s">
        <v>197</v>
      </c>
      <c r="BY4" t="s">
        <v>199</v>
      </c>
      <c r="BZ4" t="s">
        <v>196</v>
      </c>
      <c r="CB4" t="s">
        <v>197</v>
      </c>
      <c r="CC4" t="s">
        <v>199</v>
      </c>
      <c r="CD4" t="s">
        <v>196</v>
      </c>
    </row>
    <row r="5" spans="1:82" ht="15.75" thickTop="1" x14ac:dyDescent="0.25">
      <c r="A5" t="s">
        <v>197</v>
      </c>
      <c r="B5">
        <v>11.805</v>
      </c>
      <c r="C5" s="2">
        <v>131.19</v>
      </c>
      <c r="D5" s="39">
        <v>83.35</v>
      </c>
      <c r="E5" s="40">
        <v>2.93</v>
      </c>
      <c r="F5" s="41">
        <v>4.5199999999999996</v>
      </c>
      <c r="G5" s="6">
        <v>46.69</v>
      </c>
      <c r="H5" s="42">
        <v>24.72</v>
      </c>
      <c r="K5" t="s">
        <v>197</v>
      </c>
      <c r="L5" s="40">
        <v>2.93</v>
      </c>
      <c r="N5" s="58">
        <v>2.67</v>
      </c>
      <c r="O5" s="59">
        <v>5.89</v>
      </c>
      <c r="P5" s="60">
        <v>4.01</v>
      </c>
      <c r="AK5" s="66" t="s">
        <v>236</v>
      </c>
      <c r="AL5" s="66" t="s">
        <v>52</v>
      </c>
      <c r="AM5" s="66" t="s">
        <v>37</v>
      </c>
      <c r="AN5" s="66" t="s">
        <v>237</v>
      </c>
      <c r="AO5" s="66" t="s">
        <v>212</v>
      </c>
      <c r="AP5" s="66" t="s">
        <v>238</v>
      </c>
      <c r="AV5" s="66" t="s">
        <v>236</v>
      </c>
      <c r="AW5" s="66" t="s">
        <v>244</v>
      </c>
      <c r="AX5" s="66" t="s">
        <v>245</v>
      </c>
      <c r="AY5" s="66" t="s">
        <v>246</v>
      </c>
      <c r="AZ5" s="66" t="s">
        <v>238</v>
      </c>
      <c r="BD5" s="58">
        <v>128.91</v>
      </c>
      <c r="BE5" s="59">
        <v>131.99</v>
      </c>
      <c r="BF5" s="60">
        <v>130.22</v>
      </c>
      <c r="BH5" s="58">
        <v>8.875</v>
      </c>
      <c r="BI5" s="59">
        <v>19.805</v>
      </c>
      <c r="BJ5" s="60">
        <v>18.204999999999998</v>
      </c>
      <c r="BL5" s="58">
        <v>84.37</v>
      </c>
      <c r="BM5" s="59">
        <v>74.510000000000005</v>
      </c>
      <c r="BN5" s="60">
        <v>87.83</v>
      </c>
      <c r="BP5" s="58">
        <v>2.67</v>
      </c>
      <c r="BQ5" s="59">
        <v>5.89</v>
      </c>
      <c r="BR5" s="60">
        <v>4.01</v>
      </c>
      <c r="BT5" s="58">
        <v>2.08</v>
      </c>
      <c r="BU5" s="59">
        <v>1.04</v>
      </c>
      <c r="BV5" s="60">
        <v>4.1100000000000003</v>
      </c>
      <c r="BX5" s="58">
        <v>43.43</v>
      </c>
      <c r="BY5" s="59">
        <v>47.3</v>
      </c>
      <c r="BZ5" s="60">
        <v>50.43</v>
      </c>
      <c r="CB5" s="58">
        <v>25.41</v>
      </c>
      <c r="CC5" s="59">
        <v>27.17</v>
      </c>
      <c r="CD5" s="60">
        <v>28.6</v>
      </c>
    </row>
    <row r="6" spans="1:82" ht="15.75" thickBot="1" x14ac:dyDescent="0.3">
      <c r="A6" t="s">
        <v>197</v>
      </c>
      <c r="B6">
        <v>24.545000000000002</v>
      </c>
      <c r="C6" s="2">
        <v>118.19</v>
      </c>
      <c r="D6" s="39">
        <v>86.17</v>
      </c>
      <c r="E6" s="40">
        <v>4.12</v>
      </c>
      <c r="F6" s="41">
        <v>-9.98</v>
      </c>
      <c r="G6" s="6">
        <v>43.87</v>
      </c>
      <c r="H6" s="42">
        <v>27.8</v>
      </c>
      <c r="K6" t="s">
        <v>197</v>
      </c>
      <c r="L6" s="40">
        <v>4.12</v>
      </c>
      <c r="N6" s="61">
        <v>3.9</v>
      </c>
      <c r="O6">
        <v>6.02</v>
      </c>
      <c r="P6" s="62">
        <v>3.06</v>
      </c>
      <c r="R6" t="s">
        <v>201</v>
      </c>
      <c r="W6" t="s">
        <v>138</v>
      </c>
      <c r="X6">
        <v>0.05</v>
      </c>
      <c r="AC6" t="str">
        <f>N4</f>
        <v>CLASE I</v>
      </c>
      <c r="AD6" t="str">
        <f t="shared" ref="AD6:AE6" si="0">O4</f>
        <v>CLASE II</v>
      </c>
      <c r="AE6" t="str">
        <f t="shared" si="0"/>
        <v>CLASE III</v>
      </c>
      <c r="AH6" t="s">
        <v>231</v>
      </c>
      <c r="AI6" s="69" t="s">
        <v>53</v>
      </c>
      <c r="AK6" t="str">
        <f>N4</f>
        <v>CLASE I</v>
      </c>
      <c r="AL6">
        <f>AVERAGE(N5:N27)</f>
        <v>3.7608695652173907</v>
      </c>
      <c r="AM6">
        <f>COUNT(N5:N27)</f>
        <v>23</v>
      </c>
      <c r="AN6">
        <f>DEVSQ(N5:N27)</f>
        <v>35.626982608695656</v>
      </c>
      <c r="AV6" t="str">
        <f>N4</f>
        <v>CLASE I</v>
      </c>
      <c r="AW6">
        <v>568.5</v>
      </c>
      <c r="AX6">
        <f>COUNT(N5:N27)</f>
        <v>23</v>
      </c>
      <c r="AY6">
        <f>AW6/AX6</f>
        <v>24.717391304347824</v>
      </c>
      <c r="BD6" s="61">
        <v>129.61000000000001</v>
      </c>
      <c r="BE6">
        <v>129.13999999999999</v>
      </c>
      <c r="BF6" s="62">
        <v>128.88999999999999</v>
      </c>
      <c r="BH6" s="61">
        <v>10.98</v>
      </c>
      <c r="BI6">
        <v>17.074999999999999</v>
      </c>
      <c r="BJ6" s="62">
        <v>16.924999999999997</v>
      </c>
      <c r="BL6" s="61">
        <v>83.62</v>
      </c>
      <c r="BM6">
        <v>71.81</v>
      </c>
      <c r="BN6" s="62">
        <v>102.87</v>
      </c>
      <c r="BP6" s="61">
        <v>3.9</v>
      </c>
      <c r="BQ6">
        <v>6.02</v>
      </c>
      <c r="BR6" s="62">
        <v>3.06</v>
      </c>
      <c r="BT6" s="61">
        <v>2.33</v>
      </c>
      <c r="BU6">
        <v>2.09</v>
      </c>
      <c r="BV6" s="62">
        <v>2.82</v>
      </c>
      <c r="BX6" s="61">
        <v>48.35</v>
      </c>
      <c r="BY6">
        <v>46.73</v>
      </c>
      <c r="BZ6" s="62">
        <v>45.99</v>
      </c>
      <c r="CB6" s="61">
        <v>26.68</v>
      </c>
      <c r="CC6">
        <v>26.08</v>
      </c>
      <c r="CD6" s="62">
        <v>27.24</v>
      </c>
    </row>
    <row r="7" spans="1:82" ht="15.75" thickTop="1" x14ac:dyDescent="0.25">
      <c r="A7" t="s">
        <v>197</v>
      </c>
      <c r="B7">
        <v>24.3</v>
      </c>
      <c r="C7" s="2">
        <v>118.03</v>
      </c>
      <c r="D7" s="39">
        <v>86.64</v>
      </c>
      <c r="E7" s="40">
        <v>4.83</v>
      </c>
      <c r="F7" s="41">
        <v>0.08</v>
      </c>
      <c r="G7" s="6">
        <v>47.11</v>
      </c>
      <c r="H7" s="42">
        <v>30.15</v>
      </c>
      <c r="K7" t="s">
        <v>197</v>
      </c>
      <c r="L7" s="40">
        <v>4.83</v>
      </c>
      <c r="N7" s="61">
        <v>3.11</v>
      </c>
      <c r="O7">
        <v>7.89</v>
      </c>
      <c r="P7" s="62">
        <v>6.07</v>
      </c>
      <c r="R7" s="66" t="s">
        <v>202</v>
      </c>
      <c r="S7" s="66" t="s">
        <v>203</v>
      </c>
      <c r="T7" s="66" t="s">
        <v>204</v>
      </c>
      <c r="U7" s="66" t="s">
        <v>38</v>
      </c>
      <c r="V7" s="66" t="s">
        <v>205</v>
      </c>
      <c r="W7" s="66" t="s">
        <v>206</v>
      </c>
      <c r="X7" s="66" t="s">
        <v>207</v>
      </c>
      <c r="Y7" s="66" t="s">
        <v>208</v>
      </c>
      <c r="Z7" s="66" t="s">
        <v>209</v>
      </c>
      <c r="AB7" t="s">
        <v>222</v>
      </c>
      <c r="AC7" s="58">
        <f>MEDIAN(N5:N27)</f>
        <v>3.97</v>
      </c>
      <c r="AD7" s="59">
        <f t="shared" ref="AD7:AE7" si="1">MEDIAN(O5:O27)</f>
        <v>6.3</v>
      </c>
      <c r="AE7" s="60">
        <f t="shared" si="1"/>
        <v>3.97</v>
      </c>
      <c r="AH7" t="s">
        <v>232</v>
      </c>
      <c r="AI7" s="52">
        <v>8.6828410721302318E-2</v>
      </c>
      <c r="AK7" t="str">
        <f>O4</f>
        <v>CLASE II</v>
      </c>
      <c r="AL7">
        <f>AVERAGE(O5:O27)</f>
        <v>6.7420507097609459</v>
      </c>
      <c r="AM7">
        <f>COUNT(O5:O27)</f>
        <v>23</v>
      </c>
      <c r="AN7">
        <f>DEVSQ(O5:O27)</f>
        <v>45.756079595362536</v>
      </c>
      <c r="AV7" t="str">
        <f>O4</f>
        <v>CLASE II</v>
      </c>
      <c r="AW7">
        <v>1279</v>
      </c>
      <c r="AX7">
        <f>COUNT(O5:O27)</f>
        <v>23</v>
      </c>
      <c r="AY7">
        <f>AW7/AX7</f>
        <v>55.608695652173914</v>
      </c>
      <c r="BD7" s="61">
        <v>133.56</v>
      </c>
      <c r="BE7">
        <v>132.02000000000001</v>
      </c>
      <c r="BF7" s="62">
        <v>118.07</v>
      </c>
      <c r="BH7" s="61">
        <v>12.61</v>
      </c>
      <c r="BI7">
        <v>17.690000000000001</v>
      </c>
      <c r="BJ7" s="62">
        <v>17.155000000000001</v>
      </c>
      <c r="BL7" s="61">
        <v>85.88</v>
      </c>
      <c r="BM7">
        <v>70.150000000000006</v>
      </c>
      <c r="BN7" s="62">
        <v>96.24</v>
      </c>
      <c r="BP7" s="61">
        <v>3.11</v>
      </c>
      <c r="BQ7">
        <v>7.89</v>
      </c>
      <c r="BR7" s="62">
        <v>6.07</v>
      </c>
      <c r="BT7" s="61">
        <v>-3.34</v>
      </c>
      <c r="BU7">
        <v>2.99</v>
      </c>
      <c r="BV7" s="62">
        <v>0.79</v>
      </c>
      <c r="BX7" s="61">
        <v>43.7</v>
      </c>
      <c r="BY7">
        <v>48.44</v>
      </c>
      <c r="BZ7" s="62">
        <v>44.43</v>
      </c>
      <c r="CB7" s="61">
        <v>25.38</v>
      </c>
      <c r="CC7">
        <v>29.28</v>
      </c>
      <c r="CD7" s="62">
        <v>27.65</v>
      </c>
    </row>
    <row r="8" spans="1:82" x14ac:dyDescent="0.25">
      <c r="A8" t="s">
        <v>197</v>
      </c>
      <c r="B8">
        <v>14.760000000000002</v>
      </c>
      <c r="C8" s="2">
        <v>133.12</v>
      </c>
      <c r="D8" s="39">
        <v>86.43</v>
      </c>
      <c r="E8" s="40">
        <v>5.69</v>
      </c>
      <c r="F8" s="41">
        <v>2.34</v>
      </c>
      <c r="G8" s="6">
        <v>43.1</v>
      </c>
      <c r="H8" s="42">
        <v>23.78</v>
      </c>
      <c r="K8" t="s">
        <v>197</v>
      </c>
      <c r="L8" s="40">
        <v>5.69</v>
      </c>
      <c r="N8" s="61">
        <v>2.93</v>
      </c>
      <c r="O8">
        <v>5.96</v>
      </c>
      <c r="P8" s="62">
        <v>4.87</v>
      </c>
      <c r="R8" t="str">
        <f>N4</f>
        <v>CLASE I</v>
      </c>
      <c r="S8">
        <f>COUNT(N5:N27)</f>
        <v>23</v>
      </c>
      <c r="T8">
        <f>SUM(N5:N27)</f>
        <v>86.499999999999986</v>
      </c>
      <c r="U8">
        <f>AVERAGE(N5:N27)</f>
        <v>3.7608695652173907</v>
      </c>
      <c r="V8">
        <f>_xlfn.VAR.S(N5:N27)</f>
        <v>1.6194083003952642</v>
      </c>
      <c r="W8">
        <f>DEVSQ(N5:N27)</f>
        <v>35.626982608695656</v>
      </c>
      <c r="X8">
        <f>SQRT(U15/S8)</f>
        <v>0.3131479948626929</v>
      </c>
      <c r="Y8">
        <f>U8-X8*_xlfn.T.INV.2T(X6,T15)</f>
        <v>3.1356494208082766</v>
      </c>
      <c r="Z8">
        <f>U8+X8*_xlfn.T.INV.2T(X6,T15)</f>
        <v>4.3860897096265044</v>
      </c>
      <c r="AB8" t="s">
        <v>223</v>
      </c>
      <c r="AC8" s="61">
        <v>568.5</v>
      </c>
      <c r="AD8">
        <v>1279</v>
      </c>
      <c r="AE8" s="62">
        <v>567.5</v>
      </c>
      <c r="AH8" t="s">
        <v>233</v>
      </c>
      <c r="AI8" s="53">
        <v>0.12559766718494236</v>
      </c>
      <c r="AK8" t="str">
        <f>P4</f>
        <v>CLASE III</v>
      </c>
      <c r="AL8">
        <f>AVERAGE(P5:P27)</f>
        <v>3.6260869565217382</v>
      </c>
      <c r="AM8">
        <f>COUNT(P5:P27)</f>
        <v>23</v>
      </c>
      <c r="AN8">
        <f>DEVSQ(P5:P27)</f>
        <v>67.474547826086962</v>
      </c>
      <c r="AV8" t="str">
        <f>P4</f>
        <v>CLASE III</v>
      </c>
      <c r="AW8">
        <v>567.5</v>
      </c>
      <c r="AX8">
        <f>COUNT(P5:P27)</f>
        <v>23</v>
      </c>
      <c r="AY8">
        <f>AW8/AX8</f>
        <v>24.673913043478262</v>
      </c>
      <c r="BD8" s="61">
        <v>131.19</v>
      </c>
      <c r="BE8">
        <v>131.43</v>
      </c>
      <c r="BF8" s="62">
        <v>131.84</v>
      </c>
      <c r="BH8" s="61">
        <v>11.805</v>
      </c>
      <c r="BI8">
        <v>23.675000000000001</v>
      </c>
      <c r="BJ8" s="62">
        <v>10.905000000000001</v>
      </c>
      <c r="BL8" s="61">
        <v>83.35</v>
      </c>
      <c r="BM8">
        <v>71.510000000000005</v>
      </c>
      <c r="BN8" s="62">
        <v>93.49</v>
      </c>
      <c r="BP8" s="61">
        <v>2.93</v>
      </c>
      <c r="BQ8">
        <v>5.96</v>
      </c>
      <c r="BR8" s="62">
        <v>4.87</v>
      </c>
      <c r="BT8" s="61">
        <v>4.5199999999999996</v>
      </c>
      <c r="BU8">
        <v>0.97</v>
      </c>
      <c r="BV8" s="62">
        <v>1.95</v>
      </c>
      <c r="BX8" s="61">
        <v>46.69</v>
      </c>
      <c r="BY8">
        <v>51.34</v>
      </c>
      <c r="BZ8" s="62">
        <v>49.19</v>
      </c>
      <c r="CB8" s="61">
        <v>24.72</v>
      </c>
      <c r="CC8">
        <v>42.62</v>
      </c>
      <c r="CD8" s="62">
        <v>28.1</v>
      </c>
    </row>
    <row r="9" spans="1:82" x14ac:dyDescent="0.25">
      <c r="A9" t="s">
        <v>197</v>
      </c>
      <c r="B9">
        <v>10.76</v>
      </c>
      <c r="C9" s="2">
        <v>124.43</v>
      </c>
      <c r="D9" s="39">
        <v>83.02</v>
      </c>
      <c r="E9" s="40">
        <v>1.92</v>
      </c>
      <c r="F9" s="41">
        <v>4.33</v>
      </c>
      <c r="G9" s="6">
        <v>46.11</v>
      </c>
      <c r="H9" s="42">
        <v>24.75</v>
      </c>
      <c r="K9" t="s">
        <v>197</v>
      </c>
      <c r="L9" s="40">
        <v>1.92</v>
      </c>
      <c r="N9" s="61">
        <v>4.12</v>
      </c>
      <c r="O9">
        <v>6.74</v>
      </c>
      <c r="P9" s="62">
        <v>4.3499999999999996</v>
      </c>
      <c r="R9" t="str">
        <f>O4</f>
        <v>CLASE II</v>
      </c>
      <c r="S9">
        <f>COUNT(O5:O27)</f>
        <v>23</v>
      </c>
      <c r="T9">
        <f>SUM(O5:O27)</f>
        <v>155.06716632450176</v>
      </c>
      <c r="U9">
        <f>AVERAGE(O5:O27)</f>
        <v>6.7420507097609459</v>
      </c>
      <c r="V9">
        <f>_xlfn.VAR.S(O5:O27)</f>
        <v>2.0798217997892254</v>
      </c>
      <c r="W9">
        <f>DEVSQ(O5:O27)</f>
        <v>45.756079595362536</v>
      </c>
      <c r="X9">
        <f>SQRT(U15/S9)</f>
        <v>0.3131479948626929</v>
      </c>
      <c r="Y9">
        <f>U9-X9*_xlfn.T.INV.2T(X6,T15)</f>
        <v>6.1168305653518322</v>
      </c>
      <c r="Z9">
        <f>U9+X9*_xlfn.T.INV.2T(X6,T15)</f>
        <v>7.3672708541700596</v>
      </c>
      <c r="AB9" t="s">
        <v>224</v>
      </c>
      <c r="AC9" s="61">
        <f>COUNT(N5:N27)</f>
        <v>23</v>
      </c>
      <c r="AD9">
        <f t="shared" ref="AD9:AE9" si="2">COUNT(O5:O27)</f>
        <v>23</v>
      </c>
      <c r="AE9" s="62">
        <f t="shared" si="2"/>
        <v>23</v>
      </c>
      <c r="AF9" s="52">
        <f>SUM(AC9:AE9)</f>
        <v>69</v>
      </c>
      <c r="AH9" t="s">
        <v>234</v>
      </c>
      <c r="AI9" s="54">
        <v>8.4381526896633807E-2</v>
      </c>
      <c r="AK9" s="67"/>
      <c r="AL9" s="67"/>
      <c r="AM9" s="67">
        <f>SUM(AM6:AM8)</f>
        <v>69</v>
      </c>
      <c r="AN9" s="67">
        <f>SUM(AN6:AN8)</f>
        <v>148.85761003014517</v>
      </c>
      <c r="AO9" s="67">
        <f>AM9-COUNT(AM6:AM8)</f>
        <v>66</v>
      </c>
      <c r="AP9" s="67">
        <v>3.391</v>
      </c>
      <c r="AV9" s="67"/>
      <c r="AW9" s="67"/>
      <c r="AX9" s="67">
        <f>SUM(AX6:AX8)</f>
        <v>69</v>
      </c>
      <c r="AY9" s="67"/>
      <c r="AZ9" s="67">
        <v>3.3140000000000001</v>
      </c>
      <c r="BD9" s="61">
        <v>118.19</v>
      </c>
      <c r="BE9">
        <v>121.85</v>
      </c>
      <c r="BF9" s="62">
        <v>140.83000000000001</v>
      </c>
      <c r="BH9" s="61">
        <v>24.545000000000002</v>
      </c>
      <c r="BI9">
        <v>26.574999999999999</v>
      </c>
      <c r="BJ9" s="62">
        <v>25.314999999999998</v>
      </c>
      <c r="BL9" s="61">
        <v>86.17</v>
      </c>
      <c r="BM9">
        <v>72.430000000000007</v>
      </c>
      <c r="BN9" s="62">
        <v>88.4</v>
      </c>
      <c r="BP9" s="61">
        <v>4.12</v>
      </c>
      <c r="BQ9">
        <v>6.74</v>
      </c>
      <c r="BR9" s="62">
        <v>4.3499999999999996</v>
      </c>
      <c r="BT9" s="61">
        <v>-9.98</v>
      </c>
      <c r="BU9">
        <v>3.63</v>
      </c>
      <c r="BV9" s="62">
        <v>3.23</v>
      </c>
      <c r="BX9" s="61">
        <v>43.87</v>
      </c>
      <c r="BY9">
        <v>51.16</v>
      </c>
      <c r="BZ9" s="62">
        <v>48.82</v>
      </c>
      <c r="CB9" s="61">
        <v>27.8</v>
      </c>
      <c r="CC9">
        <v>47.1</v>
      </c>
      <c r="CD9" s="62">
        <v>34.36</v>
      </c>
    </row>
    <row r="10" spans="1:82" ht="15.75" thickBot="1" x14ac:dyDescent="0.3">
      <c r="A10" t="s">
        <v>197</v>
      </c>
      <c r="B10">
        <v>18.774999999999999</v>
      </c>
      <c r="C10" s="2">
        <v>136.32</v>
      </c>
      <c r="D10" s="39">
        <v>85.24</v>
      </c>
      <c r="E10" s="40">
        <v>0.56000000000000005</v>
      </c>
      <c r="F10" s="41">
        <v>1.63</v>
      </c>
      <c r="G10" s="6">
        <v>43.93</v>
      </c>
      <c r="H10" s="42">
        <v>24.78</v>
      </c>
      <c r="K10" t="s">
        <v>197</v>
      </c>
      <c r="L10" s="40">
        <v>0.56000000000000005</v>
      </c>
      <c r="N10" s="61">
        <v>4.83</v>
      </c>
      <c r="O10">
        <v>6.76</v>
      </c>
      <c r="P10" s="62">
        <v>4.4800000000000004</v>
      </c>
      <c r="R10" t="str">
        <f>P4</f>
        <v>CLASE III</v>
      </c>
      <c r="S10">
        <f>COUNT(P5:P27)</f>
        <v>23</v>
      </c>
      <c r="T10">
        <f>SUM(P5:P27)</f>
        <v>83.399999999999977</v>
      </c>
      <c r="U10">
        <f>AVERAGE(P5:P27)</f>
        <v>3.6260869565217382</v>
      </c>
      <c r="V10">
        <f>_xlfn.VAR.S(P5:P27)</f>
        <v>3.0670249011857789</v>
      </c>
      <c r="W10">
        <f>DEVSQ(P5:P27)</f>
        <v>67.474547826086962</v>
      </c>
      <c r="X10">
        <f>SQRT(U15/S10)</f>
        <v>0.3131479948626929</v>
      </c>
      <c r="Y10">
        <f>U10-X10*_xlfn.T.INV.2T(X6,T15)</f>
        <v>3.0008668121126241</v>
      </c>
      <c r="Z10">
        <f>U10+X10*_xlfn.T.INV.2T(X6,T15)</f>
        <v>4.2513071009308518</v>
      </c>
      <c r="AB10" t="s">
        <v>225</v>
      </c>
      <c r="AC10" s="63">
        <f>AC8^2/AC9</f>
        <v>14051.83695652174</v>
      </c>
      <c r="AD10" s="64">
        <f t="shared" ref="AD10:AE10" si="3">AD8^2/AD9</f>
        <v>71123.521739130432</v>
      </c>
      <c r="AE10" s="65">
        <f t="shared" si="3"/>
        <v>14002.445652173914</v>
      </c>
      <c r="AF10" s="53">
        <f>SUM(AC10:AE10)</f>
        <v>99177.804347826095</v>
      </c>
      <c r="AK10" t="s">
        <v>239</v>
      </c>
      <c r="AV10" t="s">
        <v>239</v>
      </c>
      <c r="BD10" s="61">
        <v>118.03</v>
      </c>
      <c r="BE10">
        <v>137.77000000000001</v>
      </c>
      <c r="BF10" s="62">
        <v>120.64</v>
      </c>
      <c r="BH10" s="61">
        <v>24.3</v>
      </c>
      <c r="BI10">
        <v>18.810000000000002</v>
      </c>
      <c r="BJ10" s="62">
        <v>12.47</v>
      </c>
      <c r="BL10" s="61">
        <v>86.64</v>
      </c>
      <c r="BM10">
        <v>72.53</v>
      </c>
      <c r="BN10" s="62">
        <v>103.13</v>
      </c>
      <c r="BP10" s="61">
        <v>4.83</v>
      </c>
      <c r="BQ10">
        <v>6.76</v>
      </c>
      <c r="BR10" s="62">
        <v>4.4800000000000004</v>
      </c>
      <c r="BT10" s="61">
        <v>0.08</v>
      </c>
      <c r="BU10">
        <v>5.16</v>
      </c>
      <c r="BV10" s="62">
        <v>1.84</v>
      </c>
      <c r="BX10" s="61">
        <v>47.11</v>
      </c>
      <c r="BY10">
        <v>48.6</v>
      </c>
      <c r="BZ10" s="62">
        <v>45.66</v>
      </c>
      <c r="CB10" s="61">
        <v>30.15</v>
      </c>
      <c r="CC10">
        <v>25.15</v>
      </c>
      <c r="CD10" s="62">
        <v>28.52</v>
      </c>
    </row>
    <row r="11" spans="1:82" ht="15.75" thickTop="1" x14ac:dyDescent="0.25">
      <c r="A11" t="s">
        <v>197</v>
      </c>
      <c r="B11">
        <v>14.074999999999999</v>
      </c>
      <c r="C11" s="2">
        <v>126.14</v>
      </c>
      <c r="D11" s="39">
        <v>84.16</v>
      </c>
      <c r="E11" s="40">
        <v>2.66</v>
      </c>
      <c r="F11" s="41">
        <v>3.91</v>
      </c>
      <c r="G11" s="6">
        <v>48.82</v>
      </c>
      <c r="H11" s="42">
        <v>23.14</v>
      </c>
      <c r="K11" t="s">
        <v>197</v>
      </c>
      <c r="L11" s="40">
        <v>2.66</v>
      </c>
      <c r="N11" s="61">
        <v>5.69</v>
      </c>
      <c r="O11">
        <v>7.81</v>
      </c>
      <c r="P11" s="62">
        <v>1.06</v>
      </c>
      <c r="R11" s="67"/>
      <c r="S11" s="67"/>
      <c r="T11" s="67"/>
      <c r="U11" s="67"/>
      <c r="V11" s="67"/>
      <c r="W11" s="67"/>
      <c r="X11" s="67"/>
      <c r="Y11" s="67"/>
      <c r="Z11" s="67"/>
      <c r="AB11" t="s">
        <v>226</v>
      </c>
      <c r="AF11" s="53">
        <f>12*AF10/(AF9*(AF9+1))-3*(AF9+1)</f>
        <v>36.404482851741847</v>
      </c>
      <c r="AK11" s="66" t="s">
        <v>50</v>
      </c>
      <c r="AL11" s="66" t="s">
        <v>51</v>
      </c>
      <c r="AM11" s="66" t="s">
        <v>52</v>
      </c>
      <c r="AN11" s="66" t="s">
        <v>151</v>
      </c>
      <c r="AO11" s="66" t="s">
        <v>240</v>
      </c>
      <c r="AP11" s="66" t="s">
        <v>68</v>
      </c>
      <c r="AQ11" s="66" t="s">
        <v>69</v>
      </c>
      <c r="AR11" s="66" t="s">
        <v>53</v>
      </c>
      <c r="AS11" s="66" t="s">
        <v>241</v>
      </c>
      <c r="AT11" s="66" t="s">
        <v>242</v>
      </c>
      <c r="AV11" s="66" t="s">
        <v>50</v>
      </c>
      <c r="AW11" s="66" t="s">
        <v>51</v>
      </c>
      <c r="AX11" s="66" t="s">
        <v>246</v>
      </c>
      <c r="AY11" s="66" t="s">
        <v>151</v>
      </c>
      <c r="AZ11" s="66" t="s">
        <v>240</v>
      </c>
      <c r="BA11" s="66" t="s">
        <v>53</v>
      </c>
      <c r="BB11" s="66" t="s">
        <v>247</v>
      </c>
      <c r="BD11" s="61">
        <v>133.12</v>
      </c>
      <c r="BE11">
        <v>128.91</v>
      </c>
      <c r="BF11" s="62">
        <v>136.80000000000001</v>
      </c>
      <c r="BH11" s="61">
        <v>14.760000000000002</v>
      </c>
      <c r="BI11">
        <v>23.265000000000001</v>
      </c>
      <c r="BJ11" s="62">
        <v>20.655000000000001</v>
      </c>
      <c r="BL11" s="61">
        <v>86.43</v>
      </c>
      <c r="BM11">
        <v>72.290000000000006</v>
      </c>
      <c r="BN11" s="62">
        <v>94.39</v>
      </c>
      <c r="BP11" s="61">
        <v>5.69</v>
      </c>
      <c r="BQ11">
        <v>7.81</v>
      </c>
      <c r="BR11" s="62">
        <v>1.06</v>
      </c>
      <c r="BT11" s="61">
        <v>2.34</v>
      </c>
      <c r="BU11">
        <v>1.78</v>
      </c>
      <c r="BV11" s="62">
        <v>2.96</v>
      </c>
      <c r="BX11" s="61">
        <v>43.1</v>
      </c>
      <c r="BY11">
        <v>50.4</v>
      </c>
      <c r="BZ11" s="62">
        <v>44.43</v>
      </c>
      <c r="CB11" s="61">
        <v>23.78</v>
      </c>
      <c r="CC11">
        <v>35.58</v>
      </c>
      <c r="CD11" s="62">
        <v>28.55</v>
      </c>
    </row>
    <row r="12" spans="1:82" ht="15.75" thickBot="1" x14ac:dyDescent="0.3">
      <c r="A12" t="s">
        <v>197</v>
      </c>
      <c r="B12">
        <v>18.46</v>
      </c>
      <c r="C12" s="2">
        <v>135.49</v>
      </c>
      <c r="D12" s="39">
        <v>84.66</v>
      </c>
      <c r="E12" s="40">
        <v>4.5199999999999996</v>
      </c>
      <c r="F12" s="41">
        <v>1.35</v>
      </c>
      <c r="G12" s="6">
        <v>44.57</v>
      </c>
      <c r="H12" s="42">
        <v>24.27</v>
      </c>
      <c r="K12" t="s">
        <v>197</v>
      </c>
      <c r="L12" s="40">
        <v>4.5199999999999996</v>
      </c>
      <c r="N12" s="61">
        <v>1.92</v>
      </c>
      <c r="O12">
        <v>5.87</v>
      </c>
      <c r="P12" s="62">
        <v>6.62</v>
      </c>
      <c r="R12" t="s">
        <v>210</v>
      </c>
      <c r="AB12" t="s">
        <v>227</v>
      </c>
      <c r="AF12" s="53">
        <v>36.405812987400871</v>
      </c>
      <c r="AK12" s="67" t="str">
        <f>AK6</f>
        <v>CLASE I</v>
      </c>
      <c r="AL12" s="67" t="str">
        <f>AK7</f>
        <v>CLASE II</v>
      </c>
      <c r="AM12" s="67">
        <f>ABS(AL6-AL7)</f>
        <v>2.9811811445435552</v>
      </c>
      <c r="AN12" s="67">
        <f>SQRT(AN9/AO9/HARMEAN(AM6,AM7))</f>
        <v>0.3131479948626929</v>
      </c>
      <c r="AO12" s="67">
        <f>AM12/AN12</f>
        <v>9.5200390660356113</v>
      </c>
      <c r="AP12" s="67">
        <f>AM12-AN12*AP$9</f>
        <v>1.9192962939641636</v>
      </c>
      <c r="AQ12" s="67">
        <f>AM12+AN12*AP$9</f>
        <v>4.0430659951229471</v>
      </c>
      <c r="AR12" s="67">
        <v>1.4494664246633704E-8</v>
      </c>
      <c r="AS12" s="67">
        <f>AN12*AP$9</f>
        <v>1.0618848505793916</v>
      </c>
      <c r="AT12" s="67">
        <f>AM12*SQRT(AO$9/AN$9)</f>
        <v>1.9850653676548768</v>
      </c>
      <c r="AV12" s="67" t="str">
        <f>AV6</f>
        <v>CLASE I</v>
      </c>
      <c r="AW12" s="67" t="str">
        <f>AV7</f>
        <v>CLASE II</v>
      </c>
      <c r="AX12" s="67">
        <f>ABS(AY6-AY7)</f>
        <v>30.89130434782609</v>
      </c>
      <c r="AY12" s="67">
        <f>SQRT(AX$9*(AX$9+1)/12/HARMEAN(AX6,AX7))</f>
        <v>4.1833001326703778</v>
      </c>
      <c r="AZ12" s="67">
        <f>AX12/AY12</f>
        <v>7.3844341472355373</v>
      </c>
      <c r="BA12" s="67">
        <v>5.7879602266552865E-7</v>
      </c>
      <c r="BB12" s="67">
        <f>AY12*AZ$9</f>
        <v>13.863456639669632</v>
      </c>
      <c r="BD12" s="61">
        <v>124.43</v>
      </c>
      <c r="BE12">
        <v>133.69999999999999</v>
      </c>
      <c r="BF12" s="62">
        <v>125.02</v>
      </c>
      <c r="BH12" s="61">
        <v>10.76</v>
      </c>
      <c r="BI12">
        <v>21.695</v>
      </c>
      <c r="BJ12" s="62">
        <v>7.93</v>
      </c>
      <c r="BL12" s="61">
        <v>83.02</v>
      </c>
      <c r="BM12">
        <v>72.2</v>
      </c>
      <c r="BN12" s="62">
        <v>108.46</v>
      </c>
      <c r="BP12" s="61">
        <v>1.92</v>
      </c>
      <c r="BQ12">
        <v>5.87</v>
      </c>
      <c r="BR12" s="62">
        <v>6.62</v>
      </c>
      <c r="BT12" s="61">
        <v>4.33</v>
      </c>
      <c r="BU12">
        <v>3.99</v>
      </c>
      <c r="BV12" s="62">
        <v>3.32</v>
      </c>
      <c r="BX12" s="61">
        <v>46.11</v>
      </c>
      <c r="BY12">
        <v>47.67</v>
      </c>
      <c r="BZ12" s="62">
        <v>48.87</v>
      </c>
      <c r="CB12" s="61">
        <v>24.75</v>
      </c>
      <c r="CC12">
        <v>29.29</v>
      </c>
      <c r="CD12" s="62">
        <v>31.91</v>
      </c>
    </row>
    <row r="13" spans="1:82" ht="15.75" thickTop="1" x14ac:dyDescent="0.25">
      <c r="A13" t="s">
        <v>197</v>
      </c>
      <c r="B13">
        <v>17.425000000000001</v>
      </c>
      <c r="C13" s="2">
        <v>134.11000000000001</v>
      </c>
      <c r="D13" s="39">
        <v>84.47</v>
      </c>
      <c r="E13" s="40">
        <v>4.07</v>
      </c>
      <c r="F13" s="41">
        <v>4.21</v>
      </c>
      <c r="G13" s="6">
        <v>48.23</v>
      </c>
      <c r="H13" s="42">
        <v>24.39</v>
      </c>
      <c r="K13" t="s">
        <v>197</v>
      </c>
      <c r="L13" s="40">
        <v>4.07</v>
      </c>
      <c r="N13" s="61">
        <v>0.56000000000000005</v>
      </c>
      <c r="O13">
        <v>6.3</v>
      </c>
      <c r="P13" s="62">
        <v>2.52</v>
      </c>
      <c r="R13" s="66" t="s">
        <v>211</v>
      </c>
      <c r="S13" s="66" t="s">
        <v>206</v>
      </c>
      <c r="T13" s="66" t="s">
        <v>212</v>
      </c>
      <c r="U13" s="66" t="s">
        <v>213</v>
      </c>
      <c r="V13" s="66" t="s">
        <v>214</v>
      </c>
      <c r="W13" s="66" t="s">
        <v>46</v>
      </c>
      <c r="X13" s="66" t="s">
        <v>215</v>
      </c>
      <c r="Y13" s="66" t="s">
        <v>216</v>
      </c>
      <c r="Z13" s="66" t="s">
        <v>217</v>
      </c>
      <c r="AB13" t="s">
        <v>212</v>
      </c>
      <c r="AF13" s="53">
        <f>COUNTA(AC6:AE6)-1</f>
        <v>2</v>
      </c>
      <c r="AK13" t="str">
        <f>AK6</f>
        <v>CLASE I</v>
      </c>
      <c r="AL13" t="str">
        <f>AK8</f>
        <v>CLASE III</v>
      </c>
      <c r="AM13">
        <f>ABS(AL6-AL8)</f>
        <v>0.13478260869565251</v>
      </c>
      <c r="AN13">
        <f>SQRT(AN9/AO9/HARMEAN(AM6,AM8))</f>
        <v>0.3131479948626929</v>
      </c>
      <c r="AO13">
        <f t="shared" ref="AO13:AO14" si="4">AM13/AN13</f>
        <v>0.43041185288365363</v>
      </c>
      <c r="AP13">
        <f t="shared" ref="AP13:AP14" si="5">AM13-AN13*AP$9</f>
        <v>-0.92710224188373913</v>
      </c>
      <c r="AQ13">
        <f t="shared" ref="AQ13:AQ14" si="6">AM13+AN13*AP$9</f>
        <v>1.1966674592750441</v>
      </c>
      <c r="AR13">
        <v>0.95026126846629499</v>
      </c>
      <c r="AS13">
        <f t="shared" ref="AS13:AS14" si="7">AN13*AP$9</f>
        <v>1.0618848505793916</v>
      </c>
      <c r="AT13">
        <f t="shared" ref="AT13:AT14" si="8">AM13*SQRT(AO$9/AN$9)</f>
        <v>8.9747075307254912E-2</v>
      </c>
      <c r="AV13" t="str">
        <f>AV6</f>
        <v>CLASE I</v>
      </c>
      <c r="AW13" t="str">
        <f>AV8</f>
        <v>CLASE III</v>
      </c>
      <c r="AX13">
        <f>ABS(AY6-AY8)</f>
        <v>4.3478260869562746E-2</v>
      </c>
      <c r="AY13">
        <f>SQRT(AX$9*(AX$9+1)/12/HARMEAN(AX6,AX8))</f>
        <v>4.1833001326703778</v>
      </c>
      <c r="AZ13">
        <f t="shared" ref="AZ13:AZ14" si="9">AX13/AY13</f>
        <v>1.0393292255081094E-2</v>
      </c>
      <c r="BA13">
        <v>0.99997022302907657</v>
      </c>
      <c r="BB13">
        <f t="shared" ref="BB13:BB14" si="10">AY13*AZ$9</f>
        <v>13.863456639669632</v>
      </c>
      <c r="BD13" s="61">
        <v>136.32</v>
      </c>
      <c r="BE13">
        <v>133.44</v>
      </c>
      <c r="BF13" s="62">
        <v>131.46</v>
      </c>
      <c r="BH13" s="61">
        <v>18.774999999999999</v>
      </c>
      <c r="BI13">
        <v>17.045000000000002</v>
      </c>
      <c r="BJ13" s="62">
        <v>19.215</v>
      </c>
      <c r="BL13" s="61">
        <v>85.24</v>
      </c>
      <c r="BM13">
        <v>74.260000000000005</v>
      </c>
      <c r="BN13" s="62">
        <v>93.2</v>
      </c>
      <c r="BP13" s="61">
        <v>0.56000000000000005</v>
      </c>
      <c r="BQ13">
        <v>6.3</v>
      </c>
      <c r="BR13" s="62">
        <v>2.52</v>
      </c>
      <c r="BT13" s="61">
        <v>1.63</v>
      </c>
      <c r="BU13">
        <v>1.52</v>
      </c>
      <c r="BV13" s="62">
        <v>1.27</v>
      </c>
      <c r="BX13" s="61">
        <v>43.93</v>
      </c>
      <c r="BY13">
        <v>47.12</v>
      </c>
      <c r="BZ13" s="62">
        <v>45.65</v>
      </c>
      <c r="CB13" s="61">
        <v>24.78</v>
      </c>
      <c r="CC13">
        <v>30.19</v>
      </c>
      <c r="CD13" s="62">
        <v>36.979999999999997</v>
      </c>
    </row>
    <row r="14" spans="1:82" x14ac:dyDescent="0.25">
      <c r="A14" t="s">
        <v>197</v>
      </c>
      <c r="B14">
        <v>18.274999999999999</v>
      </c>
      <c r="C14" s="2">
        <v>136.35</v>
      </c>
      <c r="D14" s="39">
        <v>83.34</v>
      </c>
      <c r="E14" s="40">
        <v>3.18</v>
      </c>
      <c r="F14" s="41">
        <v>3.9</v>
      </c>
      <c r="G14" s="6">
        <v>47.85</v>
      </c>
      <c r="H14" s="42">
        <v>26.61</v>
      </c>
      <c r="K14" t="s">
        <v>197</v>
      </c>
      <c r="L14" s="40">
        <v>3.18</v>
      </c>
      <c r="N14" s="61">
        <v>2.66</v>
      </c>
      <c r="O14">
        <v>5.51</v>
      </c>
      <c r="P14" s="62">
        <v>3.97</v>
      </c>
      <c r="R14" t="s">
        <v>218</v>
      </c>
      <c r="S14">
        <f>S16-S15</f>
        <v>142.71375401095213</v>
      </c>
      <c r="T14">
        <f>COUNTA(R8:R10)-1</f>
        <v>2</v>
      </c>
      <c r="U14">
        <f>S14/T14</f>
        <v>71.356877005476065</v>
      </c>
      <c r="V14">
        <f>U14/U15</f>
        <v>31.637978611961376</v>
      </c>
      <c r="W14">
        <f>_xlfn.F.DIST.RT(V14,T14,T15)</f>
        <v>2.3166675774851281E-10</v>
      </c>
      <c r="X14">
        <f>S14/S16</f>
        <v>0.48946423281415413</v>
      </c>
      <c r="Y14">
        <f>SQRT(DEVSQ(U8:U10)/(U15*T14))</f>
        <v>1.172844528263052</v>
      </c>
      <c r="Z14">
        <f>(S16-T16*U15)/(S16+U15)</f>
        <v>0.47035507187715037</v>
      </c>
      <c r="AB14" t="s">
        <v>53</v>
      </c>
      <c r="AF14" s="53">
        <f>_xlfn.CHISQ.DIST.RT(AF12,AF13)</f>
        <v>1.2433063598378911E-8</v>
      </c>
      <c r="AK14" s="68" t="str">
        <f>AK7</f>
        <v>CLASE II</v>
      </c>
      <c r="AL14" s="68" t="str">
        <f>AK8</f>
        <v>CLASE III</v>
      </c>
      <c r="AM14" s="68">
        <f>ABS(AL7-AL8)</f>
        <v>3.1159637532392077</v>
      </c>
      <c r="AN14" s="68">
        <f>SQRT(AN9/AO9/HARMEAN(AM7,AM8))</f>
        <v>0.3131479948626929</v>
      </c>
      <c r="AO14" s="68">
        <f t="shared" si="4"/>
        <v>9.9504509189192643</v>
      </c>
      <c r="AP14" s="68">
        <f t="shared" si="5"/>
        <v>2.0540789026598159</v>
      </c>
      <c r="AQ14" s="68">
        <f t="shared" si="6"/>
        <v>4.1778486038185996</v>
      </c>
      <c r="AR14" s="68">
        <v>4.1825635177517029E-9</v>
      </c>
      <c r="AS14" s="68">
        <f t="shared" si="7"/>
        <v>1.0618848505793916</v>
      </c>
      <c r="AT14" s="68">
        <f t="shared" si="8"/>
        <v>2.0748124429621315</v>
      </c>
      <c r="AV14" s="68" t="str">
        <f>AV7</f>
        <v>CLASE II</v>
      </c>
      <c r="AW14" s="68" t="str">
        <f>AV8</f>
        <v>CLASE III</v>
      </c>
      <c r="AX14" s="68">
        <f>ABS(AY7-AY8)</f>
        <v>30.934782608695652</v>
      </c>
      <c r="AY14" s="68">
        <f>SQRT(AX$9*(AX$9+1)/12/HARMEAN(AX7,AX8))</f>
        <v>4.1833001326703778</v>
      </c>
      <c r="AZ14" s="68">
        <f t="shared" si="9"/>
        <v>7.3948274394906184</v>
      </c>
      <c r="BA14" s="68">
        <v>5.5653215702555769E-7</v>
      </c>
      <c r="BB14" s="68">
        <f t="shared" si="10"/>
        <v>13.863456639669632</v>
      </c>
      <c r="BD14" s="61">
        <v>126.14</v>
      </c>
      <c r="BE14">
        <v>135.12</v>
      </c>
      <c r="BF14" s="62">
        <v>124.96</v>
      </c>
      <c r="BH14" s="61">
        <v>14.074999999999999</v>
      </c>
      <c r="BI14">
        <v>20.434999999999999</v>
      </c>
      <c r="BJ14" s="62">
        <v>19.475000000000001</v>
      </c>
      <c r="BL14" s="61">
        <v>84.16</v>
      </c>
      <c r="BM14">
        <v>74.61</v>
      </c>
      <c r="BN14" s="62">
        <v>89.34</v>
      </c>
      <c r="BP14" s="61">
        <v>2.66</v>
      </c>
      <c r="BQ14">
        <v>5.51</v>
      </c>
      <c r="BR14" s="62">
        <v>3.97</v>
      </c>
      <c r="BT14" s="61">
        <v>3.91</v>
      </c>
      <c r="BU14">
        <v>4.04</v>
      </c>
      <c r="BV14" s="62">
        <v>1.38</v>
      </c>
      <c r="BX14" s="61">
        <v>48.82</v>
      </c>
      <c r="BY14">
        <v>51.96</v>
      </c>
      <c r="BZ14" s="62">
        <v>49.18</v>
      </c>
      <c r="CB14" s="61">
        <v>23.14</v>
      </c>
      <c r="CC14">
        <v>34.08</v>
      </c>
      <c r="CD14" s="62">
        <v>32.5</v>
      </c>
    </row>
    <row r="15" spans="1:82" x14ac:dyDescent="0.25">
      <c r="A15" t="s">
        <v>197</v>
      </c>
      <c r="B15">
        <v>17.54</v>
      </c>
      <c r="C15" s="2">
        <v>126.85</v>
      </c>
      <c r="D15" s="39">
        <v>89.2</v>
      </c>
      <c r="E15" s="40">
        <v>3.56</v>
      </c>
      <c r="F15" s="41">
        <v>2.0099999999999998</v>
      </c>
      <c r="G15" s="6">
        <v>47.01</v>
      </c>
      <c r="H15" s="42">
        <v>32.619999999999997</v>
      </c>
      <c r="K15" t="s">
        <v>197</v>
      </c>
      <c r="L15" s="40">
        <v>3.56</v>
      </c>
      <c r="N15" s="61">
        <v>4.5199999999999996</v>
      </c>
      <c r="O15">
        <v>6.72</v>
      </c>
      <c r="P15" s="62">
        <v>4.87</v>
      </c>
      <c r="R15" t="s">
        <v>219</v>
      </c>
      <c r="S15">
        <f>SUM(W8:W10)</f>
        <v>148.85761003014517</v>
      </c>
      <c r="T15">
        <f>T16-T14</f>
        <v>66</v>
      </c>
      <c r="U15">
        <f>S15/T15</f>
        <v>2.2554183337900784</v>
      </c>
      <c r="AB15" t="s">
        <v>228</v>
      </c>
      <c r="AF15" s="53">
        <v>0.05</v>
      </c>
      <c r="BD15" s="61">
        <v>135.49</v>
      </c>
      <c r="BE15">
        <v>121.28</v>
      </c>
      <c r="BF15" s="62">
        <v>136.18</v>
      </c>
      <c r="BH15" s="61">
        <v>18.46</v>
      </c>
      <c r="BI15">
        <v>17.914999999999999</v>
      </c>
      <c r="BJ15" s="62">
        <v>12.015000000000001</v>
      </c>
      <c r="BL15" s="61">
        <v>84.66</v>
      </c>
      <c r="BM15">
        <v>71.650000000000006</v>
      </c>
      <c r="BN15" s="62">
        <v>89.71</v>
      </c>
      <c r="BP15" s="61">
        <v>4.5199999999999996</v>
      </c>
      <c r="BQ15">
        <v>6.72</v>
      </c>
      <c r="BR15" s="62">
        <v>4.87</v>
      </c>
      <c r="BT15" s="61">
        <v>1.35</v>
      </c>
      <c r="BU15">
        <v>6.98</v>
      </c>
      <c r="BV15" s="62">
        <v>2.58</v>
      </c>
      <c r="BX15" s="61">
        <v>44.57</v>
      </c>
      <c r="BY15">
        <v>45.48</v>
      </c>
      <c r="BZ15" s="62">
        <v>43.33</v>
      </c>
      <c r="CB15" s="61">
        <v>24.27</v>
      </c>
      <c r="CC15">
        <v>31.39</v>
      </c>
      <c r="CD15" s="62">
        <v>30.94</v>
      </c>
    </row>
    <row r="16" spans="1:82" x14ac:dyDescent="0.25">
      <c r="A16" t="s">
        <v>197</v>
      </c>
      <c r="B16">
        <v>19.555</v>
      </c>
      <c r="C16" s="2">
        <v>131.29</v>
      </c>
      <c r="D16" s="39">
        <v>84.03</v>
      </c>
      <c r="E16" s="40">
        <v>5.3</v>
      </c>
      <c r="F16" s="41">
        <v>1.61</v>
      </c>
      <c r="G16" s="6">
        <v>45.75</v>
      </c>
      <c r="H16" s="42">
        <v>24.94</v>
      </c>
      <c r="K16" t="s">
        <v>197</v>
      </c>
      <c r="L16" s="40">
        <v>5.3</v>
      </c>
      <c r="N16" s="61">
        <v>4.07</v>
      </c>
      <c r="O16">
        <v>5.43</v>
      </c>
      <c r="P16" s="62">
        <v>1.78</v>
      </c>
      <c r="R16" s="68" t="s">
        <v>220</v>
      </c>
      <c r="S16" s="68">
        <f>DEVSQ(N5:P27)</f>
        <v>291.5713640410973</v>
      </c>
      <c r="T16" s="68">
        <f>COUNT(N5:P27)-1</f>
        <v>68</v>
      </c>
      <c r="U16" s="68">
        <f>S16/T16</f>
        <v>4.28781417707496</v>
      </c>
      <c r="V16" s="68"/>
      <c r="W16" s="68"/>
      <c r="X16" s="68"/>
      <c r="Y16" s="68"/>
      <c r="Z16" s="68"/>
      <c r="AB16" t="s">
        <v>229</v>
      </c>
      <c r="AF16" s="70" t="str">
        <f>IF(AF14&lt;AF15,"yes","no")</f>
        <v>yes</v>
      </c>
      <c r="BD16" s="61">
        <v>134.11000000000001</v>
      </c>
      <c r="BE16">
        <v>129.83000000000001</v>
      </c>
      <c r="BF16" s="62">
        <v>131.4</v>
      </c>
      <c r="BH16" s="61">
        <v>17.425000000000001</v>
      </c>
      <c r="BI16">
        <v>18.18</v>
      </c>
      <c r="BJ16" s="62">
        <v>16.355</v>
      </c>
      <c r="BL16" s="61">
        <v>84.47</v>
      </c>
      <c r="BM16">
        <v>73.37</v>
      </c>
      <c r="BN16" s="62">
        <v>89.36</v>
      </c>
      <c r="BP16" s="61">
        <v>4.07</v>
      </c>
      <c r="BQ16">
        <v>5.43</v>
      </c>
      <c r="BR16" s="62">
        <v>1.78</v>
      </c>
      <c r="BT16" s="61">
        <v>4.21</v>
      </c>
      <c r="BU16">
        <v>0.57999999999999996</v>
      </c>
      <c r="BV16" s="62">
        <v>0.18</v>
      </c>
      <c r="BX16" s="61">
        <v>48.23</v>
      </c>
      <c r="BY16">
        <v>48.83</v>
      </c>
      <c r="BZ16" s="62">
        <v>46.27</v>
      </c>
      <c r="CB16" s="61">
        <v>24.39</v>
      </c>
      <c r="CC16">
        <v>32.79</v>
      </c>
      <c r="CD16" s="62">
        <v>31.21</v>
      </c>
    </row>
    <row r="17" spans="1:82" x14ac:dyDescent="0.25">
      <c r="A17" t="s">
        <v>197</v>
      </c>
      <c r="B17">
        <v>22.25</v>
      </c>
      <c r="C17" s="2">
        <v>127.58</v>
      </c>
      <c r="D17" s="39">
        <v>88.39</v>
      </c>
      <c r="E17" s="40">
        <v>2.0699999999999998</v>
      </c>
      <c r="F17" s="41">
        <v>3.46</v>
      </c>
      <c r="G17" s="6">
        <v>43.62</v>
      </c>
      <c r="H17" s="42">
        <v>25.11</v>
      </c>
      <c r="K17" t="s">
        <v>197</v>
      </c>
      <c r="L17" s="40">
        <v>2.0699999999999998</v>
      </c>
      <c r="N17" s="61">
        <v>3.18</v>
      </c>
      <c r="O17">
        <v>8.14</v>
      </c>
      <c r="P17" s="62">
        <v>1.71</v>
      </c>
      <c r="BD17" s="61">
        <v>136.35</v>
      </c>
      <c r="BE17">
        <v>136.54</v>
      </c>
      <c r="BF17" s="62">
        <v>127.16</v>
      </c>
      <c r="BH17" s="61">
        <v>18.274999999999999</v>
      </c>
      <c r="BI17">
        <v>17.645</v>
      </c>
      <c r="BJ17" s="62">
        <v>18.560000000000002</v>
      </c>
      <c r="BL17" s="61">
        <v>83.34</v>
      </c>
      <c r="BM17">
        <v>72.989999999999995</v>
      </c>
      <c r="BN17" s="62">
        <v>90.61</v>
      </c>
      <c r="BP17" s="61">
        <v>3.18</v>
      </c>
      <c r="BQ17">
        <v>8.14</v>
      </c>
      <c r="BR17" s="62">
        <v>1.71</v>
      </c>
      <c r="BT17" s="61">
        <v>3.9</v>
      </c>
      <c r="BU17">
        <v>2.6</v>
      </c>
      <c r="BV17" s="62">
        <v>0.57999999999999996</v>
      </c>
      <c r="BX17" s="61">
        <v>47.85</v>
      </c>
      <c r="BY17">
        <v>45.03</v>
      </c>
      <c r="BZ17" s="62">
        <v>49.36</v>
      </c>
      <c r="CB17" s="61">
        <v>26.61</v>
      </c>
      <c r="CC17">
        <v>29.04</v>
      </c>
      <c r="CD17" s="62">
        <v>26.72</v>
      </c>
    </row>
    <row r="18" spans="1:82" x14ac:dyDescent="0.25">
      <c r="A18" t="s">
        <v>197</v>
      </c>
      <c r="B18">
        <v>21.765000000000001</v>
      </c>
      <c r="C18" s="2">
        <v>133.80000000000001</v>
      </c>
      <c r="D18" s="39">
        <v>85.6</v>
      </c>
      <c r="E18" s="40">
        <v>4.3600000000000003</v>
      </c>
      <c r="F18" s="41">
        <v>0.09</v>
      </c>
      <c r="G18" s="6">
        <v>43.88</v>
      </c>
      <c r="H18" s="42">
        <v>24.97</v>
      </c>
      <c r="K18" t="s">
        <v>197</v>
      </c>
      <c r="L18" s="40">
        <v>4.3600000000000003</v>
      </c>
      <c r="N18" s="61">
        <v>3.56</v>
      </c>
      <c r="O18">
        <v>5.95</v>
      </c>
      <c r="P18" s="62">
        <v>2.39</v>
      </c>
      <c r="BD18" s="61">
        <v>126.85</v>
      </c>
      <c r="BE18">
        <v>125.82</v>
      </c>
      <c r="BF18" s="62">
        <v>117.68</v>
      </c>
      <c r="BH18" s="61">
        <v>17.54</v>
      </c>
      <c r="BI18">
        <v>20.490000000000002</v>
      </c>
      <c r="BJ18" s="62">
        <v>12.515000000000001</v>
      </c>
      <c r="BL18" s="61">
        <v>89.2</v>
      </c>
      <c r="BM18">
        <v>71.180000000000007</v>
      </c>
      <c r="BN18" s="62">
        <v>92.07</v>
      </c>
      <c r="BP18" s="61">
        <v>3.56</v>
      </c>
      <c r="BQ18">
        <v>5.95</v>
      </c>
      <c r="BR18" s="62">
        <v>2.39</v>
      </c>
      <c r="BT18" s="61">
        <v>2.0099999999999998</v>
      </c>
      <c r="BU18">
        <v>2.19</v>
      </c>
      <c r="BV18" s="62">
        <v>2.63</v>
      </c>
      <c r="BX18" s="61">
        <v>47.01</v>
      </c>
      <c r="BY18">
        <v>54.76</v>
      </c>
      <c r="BZ18" s="62">
        <v>49.71</v>
      </c>
      <c r="CB18" s="61">
        <v>32.619999999999997</v>
      </c>
      <c r="CC18">
        <v>39.619999999999997</v>
      </c>
      <c r="CD18" s="62">
        <v>31.62</v>
      </c>
    </row>
    <row r="19" spans="1:82" x14ac:dyDescent="0.25">
      <c r="A19" t="s">
        <v>197</v>
      </c>
      <c r="B19">
        <v>22.950000000000003</v>
      </c>
      <c r="C19" s="2">
        <v>127.7</v>
      </c>
      <c r="D19" s="39">
        <v>83.65</v>
      </c>
      <c r="E19" s="40">
        <v>5.84</v>
      </c>
      <c r="F19" s="41">
        <v>0.37</v>
      </c>
      <c r="G19" s="6">
        <v>44.39</v>
      </c>
      <c r="H19" s="42">
        <v>27.18</v>
      </c>
      <c r="K19" t="s">
        <v>197</v>
      </c>
      <c r="L19" s="40">
        <v>5.84</v>
      </c>
      <c r="N19" s="61">
        <v>5.3</v>
      </c>
      <c r="O19">
        <v>4.74</v>
      </c>
      <c r="P19" s="62">
        <v>3.03</v>
      </c>
      <c r="R19" t="s">
        <v>248</v>
      </c>
      <c r="W19" t="s">
        <v>259</v>
      </c>
      <c r="BD19" s="61">
        <v>131.29</v>
      </c>
      <c r="BE19">
        <v>126.29</v>
      </c>
      <c r="BF19" s="62">
        <v>122.34</v>
      </c>
      <c r="BH19" s="61">
        <v>19.555</v>
      </c>
      <c r="BI19">
        <v>16.225000000000001</v>
      </c>
      <c r="BJ19" s="62">
        <v>5.99</v>
      </c>
      <c r="BL19" s="61">
        <v>84.03</v>
      </c>
      <c r="BM19">
        <v>75.34</v>
      </c>
      <c r="BN19" s="62">
        <v>101.04</v>
      </c>
      <c r="BP19" s="61">
        <v>5.3</v>
      </c>
      <c r="BQ19">
        <v>4.74</v>
      </c>
      <c r="BR19" s="62">
        <v>3.03</v>
      </c>
      <c r="BT19" s="61">
        <v>1.61</v>
      </c>
      <c r="BU19">
        <v>3.81</v>
      </c>
      <c r="BV19" s="62">
        <v>3.98</v>
      </c>
      <c r="BX19" s="61">
        <v>45.75</v>
      </c>
      <c r="BY19">
        <v>47.63</v>
      </c>
      <c r="BZ19" s="62">
        <v>47.38</v>
      </c>
      <c r="CB19" s="61">
        <v>24.94</v>
      </c>
      <c r="CC19">
        <v>31.2</v>
      </c>
      <c r="CD19" s="62">
        <v>29.21</v>
      </c>
    </row>
    <row r="20" spans="1:82" x14ac:dyDescent="0.25">
      <c r="A20" t="s">
        <v>197</v>
      </c>
      <c r="B20">
        <v>23.765000000000001</v>
      </c>
      <c r="C20" s="2">
        <v>124.72</v>
      </c>
      <c r="D20" s="39">
        <v>87.16</v>
      </c>
      <c r="E20" s="40">
        <v>4.17</v>
      </c>
      <c r="F20" s="41">
        <v>1.78</v>
      </c>
      <c r="G20" s="6">
        <v>45.33</v>
      </c>
      <c r="H20" s="42">
        <v>25.86</v>
      </c>
      <c r="K20" t="s">
        <v>197</v>
      </c>
      <c r="L20" s="40">
        <v>4.17</v>
      </c>
      <c r="N20" s="61">
        <v>2.0699999999999998</v>
      </c>
      <c r="O20">
        <v>5.72</v>
      </c>
      <c r="P20" s="62">
        <v>6.73</v>
      </c>
      <c r="BD20" s="61">
        <v>127.58</v>
      </c>
      <c r="BE20">
        <v>126.22</v>
      </c>
      <c r="BF20" s="62">
        <v>131.01</v>
      </c>
      <c r="BH20" s="61">
        <v>22.25</v>
      </c>
      <c r="BI20">
        <v>15.29</v>
      </c>
      <c r="BJ20" s="62">
        <v>19.364999999999998</v>
      </c>
      <c r="BL20" s="61">
        <v>88.39</v>
      </c>
      <c r="BM20">
        <v>73.3</v>
      </c>
      <c r="BN20" s="62">
        <v>88.68</v>
      </c>
      <c r="BP20" s="61">
        <v>2.0699999999999998</v>
      </c>
      <c r="BQ20">
        <v>5.72</v>
      </c>
      <c r="BR20" s="62">
        <v>6.73</v>
      </c>
      <c r="BT20" s="61">
        <v>3.46</v>
      </c>
      <c r="BU20">
        <v>7.81</v>
      </c>
      <c r="BV20" s="62">
        <v>0.19</v>
      </c>
      <c r="BX20" s="61">
        <v>43.62</v>
      </c>
      <c r="BY20">
        <v>48.55</v>
      </c>
      <c r="BZ20" s="62">
        <v>47.45</v>
      </c>
      <c r="CB20" s="61">
        <v>25.11</v>
      </c>
      <c r="CC20">
        <v>27.4</v>
      </c>
      <c r="CD20" s="62">
        <v>29.55</v>
      </c>
    </row>
    <row r="21" spans="1:82" x14ac:dyDescent="0.25">
      <c r="A21" t="s">
        <v>197</v>
      </c>
      <c r="B21">
        <v>16.63</v>
      </c>
      <c r="C21" s="2">
        <v>134.15</v>
      </c>
      <c r="D21" s="39">
        <v>84.02</v>
      </c>
      <c r="E21" s="40">
        <v>3.69</v>
      </c>
      <c r="F21" s="41">
        <v>-0.28000000000000003</v>
      </c>
      <c r="G21" s="6">
        <v>47.56</v>
      </c>
      <c r="H21" s="42">
        <v>26.88</v>
      </c>
      <c r="K21" t="s">
        <v>197</v>
      </c>
      <c r="L21" s="40">
        <v>3.69</v>
      </c>
      <c r="N21" s="61">
        <v>4.3600000000000003</v>
      </c>
      <c r="O21">
        <v>6.24</v>
      </c>
      <c r="P21" s="62">
        <v>1.26</v>
      </c>
      <c r="R21" s="71"/>
      <c r="S21" s="71" t="str">
        <f>N4</f>
        <v>CLASE I</v>
      </c>
      <c r="T21" s="71" t="str">
        <f t="shared" ref="T21:U21" si="11">O4</f>
        <v>CLASE II</v>
      </c>
      <c r="U21" s="71" t="str">
        <f t="shared" si="11"/>
        <v>CLASE III</v>
      </c>
      <c r="W21" s="71"/>
      <c r="X21" s="71" t="str">
        <f>N4</f>
        <v>CLASE I</v>
      </c>
      <c r="Y21" s="71" t="str">
        <f t="shared" ref="Y21:Z21" si="12">O4</f>
        <v>CLASE II</v>
      </c>
      <c r="Z21" s="71" t="str">
        <f t="shared" si="12"/>
        <v>CLASE III</v>
      </c>
      <c r="BD21" s="61">
        <v>133.80000000000001</v>
      </c>
      <c r="BE21">
        <v>137.27000000000001</v>
      </c>
      <c r="BF21" s="62">
        <v>125.48</v>
      </c>
      <c r="BH21" s="61">
        <v>21.765000000000001</v>
      </c>
      <c r="BI21">
        <v>14.445</v>
      </c>
      <c r="BJ21" s="62">
        <v>11.14</v>
      </c>
      <c r="BL21" s="61">
        <v>85.6</v>
      </c>
      <c r="BM21">
        <v>73.510000000000005</v>
      </c>
      <c r="BN21" s="62">
        <v>95.04</v>
      </c>
      <c r="BP21" s="61">
        <v>4.3600000000000003</v>
      </c>
      <c r="BQ21">
        <v>6.24</v>
      </c>
      <c r="BR21" s="62">
        <v>1.26</v>
      </c>
      <c r="BT21" s="61">
        <v>0.09</v>
      </c>
      <c r="BU21">
        <v>2.39</v>
      </c>
      <c r="BV21" s="62">
        <v>1.47</v>
      </c>
      <c r="BX21" s="61">
        <v>43.88</v>
      </c>
      <c r="BY21">
        <v>47.95</v>
      </c>
      <c r="BZ21" s="62">
        <v>47.64</v>
      </c>
      <c r="CB21" s="61">
        <v>24.97</v>
      </c>
      <c r="CC21">
        <v>26.88</v>
      </c>
      <c r="CD21" s="62">
        <v>29.67</v>
      </c>
    </row>
    <row r="22" spans="1:82" x14ac:dyDescent="0.25">
      <c r="A22" t="s">
        <v>197</v>
      </c>
      <c r="B22">
        <v>22.3</v>
      </c>
      <c r="C22" s="2">
        <v>129.49</v>
      </c>
      <c r="D22" s="39">
        <v>87.31</v>
      </c>
      <c r="E22" s="40">
        <v>5.22</v>
      </c>
      <c r="F22" s="41">
        <v>-2.5299999999999998</v>
      </c>
      <c r="G22" s="6">
        <v>46.65</v>
      </c>
      <c r="H22" s="42">
        <v>33.04</v>
      </c>
      <c r="K22" t="s">
        <v>197</v>
      </c>
      <c r="L22" s="40">
        <v>5.22</v>
      </c>
      <c r="N22" s="61">
        <v>5.84</v>
      </c>
      <c r="O22">
        <v>11.64</v>
      </c>
      <c r="P22" s="62">
        <v>4.2300000000000004</v>
      </c>
      <c r="R22" t="s">
        <v>38</v>
      </c>
      <c r="S22">
        <f>AVERAGE(N5:N27)</f>
        <v>3.7608695652173907</v>
      </c>
      <c r="T22">
        <f t="shared" ref="T22:U22" si="13">AVERAGE(O5:O27)</f>
        <v>6.7420507097609459</v>
      </c>
      <c r="U22">
        <f t="shared" si="13"/>
        <v>3.6260869565217382</v>
      </c>
      <c r="W22" t="s">
        <v>260</v>
      </c>
      <c r="X22">
        <v>0.9711034272322987</v>
      </c>
      <c r="Y22">
        <v>0.83942528725694232</v>
      </c>
      <c r="Z22">
        <v>0.94460091873894403</v>
      </c>
      <c r="BD22" s="61">
        <v>127.7</v>
      </c>
      <c r="BE22">
        <v>131.52000000000001</v>
      </c>
      <c r="BF22" s="62">
        <v>129.19</v>
      </c>
      <c r="BH22" s="61">
        <v>22.950000000000003</v>
      </c>
      <c r="BI22">
        <v>13.705</v>
      </c>
      <c r="BJ22" s="62">
        <v>15.434999999999999</v>
      </c>
      <c r="BL22" s="61">
        <v>83.65</v>
      </c>
      <c r="BM22">
        <v>67.86</v>
      </c>
      <c r="BN22" s="62">
        <v>100.27</v>
      </c>
      <c r="BP22" s="61">
        <v>5.84</v>
      </c>
      <c r="BQ22">
        <v>11.64</v>
      </c>
      <c r="BR22" s="62">
        <v>4.2300000000000004</v>
      </c>
      <c r="BT22" s="61">
        <v>0.37</v>
      </c>
      <c r="BU22">
        <v>3.32</v>
      </c>
      <c r="BV22" s="62">
        <v>4.88</v>
      </c>
      <c r="BX22" s="61">
        <v>44.39</v>
      </c>
      <c r="BY22">
        <v>52.6</v>
      </c>
      <c r="BZ22" s="62">
        <v>45.82</v>
      </c>
      <c r="CB22" s="61">
        <v>27.18</v>
      </c>
      <c r="CC22">
        <v>36</v>
      </c>
      <c r="CD22" s="62">
        <v>28.26</v>
      </c>
    </row>
    <row r="23" spans="1:82" x14ac:dyDescent="0.25">
      <c r="A23" t="s">
        <v>197</v>
      </c>
      <c r="B23">
        <v>16.990000000000002</v>
      </c>
      <c r="C23" s="2">
        <v>134.56</v>
      </c>
      <c r="D23" s="39">
        <v>84.11</v>
      </c>
      <c r="E23" s="40">
        <v>4.16</v>
      </c>
      <c r="F23" s="41">
        <v>0.28000000000000003</v>
      </c>
      <c r="G23" s="6">
        <v>45.16</v>
      </c>
      <c r="H23" s="42">
        <v>23.91</v>
      </c>
      <c r="K23" t="s">
        <v>197</v>
      </c>
      <c r="L23" s="40">
        <v>4.16</v>
      </c>
      <c r="N23" s="61">
        <v>4.17</v>
      </c>
      <c r="O23">
        <v>6.91</v>
      </c>
      <c r="P23" s="62">
        <v>1.49</v>
      </c>
      <c r="R23" t="s">
        <v>39</v>
      </c>
      <c r="S23">
        <f>_xlfn.STDEV.S(N5:N27)/SQRT(COUNT(N5:N27))</f>
        <v>0.26534704923726687</v>
      </c>
      <c r="T23">
        <f t="shared" ref="T23:U23" si="14">_xlfn.STDEV.S(O5:O27)/SQRT(COUNT(O5:O27))</f>
        <v>0.30071088236617677</v>
      </c>
      <c r="U23">
        <f t="shared" si="14"/>
        <v>0.36516969856110437</v>
      </c>
      <c r="W23" t="s">
        <v>53</v>
      </c>
      <c r="X23">
        <v>0.71540186691416552</v>
      </c>
      <c r="Y23">
        <v>1.7601578586553535E-3</v>
      </c>
      <c r="Z23">
        <v>0.22535792002810473</v>
      </c>
      <c r="BD23" s="61">
        <v>124.72</v>
      </c>
      <c r="BE23">
        <v>127.51</v>
      </c>
      <c r="BF23" s="62">
        <v>133.79</v>
      </c>
      <c r="BH23" s="61">
        <v>23.765000000000001</v>
      </c>
      <c r="BI23">
        <v>22.37</v>
      </c>
      <c r="BJ23" s="62">
        <v>18.685000000000002</v>
      </c>
      <c r="BL23" s="61">
        <v>87.16</v>
      </c>
      <c r="BM23">
        <v>70.92</v>
      </c>
      <c r="BN23" s="62">
        <v>102.32</v>
      </c>
      <c r="BP23" s="61">
        <v>4.17</v>
      </c>
      <c r="BQ23">
        <v>6.91</v>
      </c>
      <c r="BR23" s="62">
        <v>1.49</v>
      </c>
      <c r="BT23" s="61">
        <v>1.78</v>
      </c>
      <c r="BU23">
        <v>3.18</v>
      </c>
      <c r="BV23" s="62">
        <v>10.44</v>
      </c>
      <c r="BX23" s="61">
        <v>45.33</v>
      </c>
      <c r="BY23">
        <v>59.27</v>
      </c>
      <c r="BZ23" s="62">
        <v>46.79</v>
      </c>
      <c r="CB23" s="61">
        <v>25.86</v>
      </c>
      <c r="CC23">
        <v>43.03</v>
      </c>
      <c r="CD23" s="62">
        <v>33.08</v>
      </c>
    </row>
    <row r="24" spans="1:82" x14ac:dyDescent="0.25">
      <c r="A24" t="s">
        <v>197</v>
      </c>
      <c r="B24">
        <v>15.83</v>
      </c>
      <c r="C24" s="2">
        <v>135.12</v>
      </c>
      <c r="D24" s="39">
        <v>86.51</v>
      </c>
      <c r="E24" s="40">
        <v>3.97</v>
      </c>
      <c r="F24" s="41">
        <v>5.51</v>
      </c>
      <c r="G24" s="6">
        <v>43.15</v>
      </c>
      <c r="H24" s="42">
        <v>24.19</v>
      </c>
      <c r="K24" t="s">
        <v>197</v>
      </c>
      <c r="L24" s="40">
        <v>3.97</v>
      </c>
      <c r="N24" s="61">
        <v>3.69</v>
      </c>
      <c r="O24">
        <v>5.8180745634743021</v>
      </c>
      <c r="P24" s="62">
        <v>2.46</v>
      </c>
      <c r="R24" t="s">
        <v>40</v>
      </c>
      <c r="S24">
        <f>MEDIAN(N5:N27)</f>
        <v>3.97</v>
      </c>
      <c r="T24">
        <f t="shared" ref="T24:U24" si="15">MEDIAN(O5:O27)</f>
        <v>6.3</v>
      </c>
      <c r="U24">
        <f t="shared" si="15"/>
        <v>3.97</v>
      </c>
      <c r="W24" t="s">
        <v>228</v>
      </c>
      <c r="X24">
        <v>0.05</v>
      </c>
      <c r="Y24">
        <v>0.05</v>
      </c>
      <c r="Z24">
        <v>0.05</v>
      </c>
      <c r="BD24" s="61">
        <v>134.15</v>
      </c>
      <c r="BE24">
        <v>138.15383332762181</v>
      </c>
      <c r="BF24" s="62">
        <v>127.82</v>
      </c>
      <c r="BH24" s="61">
        <v>16.63</v>
      </c>
      <c r="BI24">
        <v>27.573308198025668</v>
      </c>
      <c r="BJ24" s="62">
        <v>15.19</v>
      </c>
      <c r="BL24" s="61">
        <v>84.02</v>
      </c>
      <c r="BM24">
        <v>69.363383994012565</v>
      </c>
      <c r="BN24" s="62">
        <v>96.68</v>
      </c>
      <c r="BP24" s="61">
        <v>3.69</v>
      </c>
      <c r="BQ24">
        <v>5.8180745634743021</v>
      </c>
      <c r="BR24" s="62">
        <v>2.46</v>
      </c>
      <c r="BT24" s="61">
        <v>-0.28000000000000003</v>
      </c>
      <c r="BU24">
        <v>2.5538514782876596</v>
      </c>
      <c r="BV24" s="62">
        <v>2.8</v>
      </c>
      <c r="BX24" s="61">
        <v>47.56</v>
      </c>
      <c r="BY24">
        <v>46.831097097137864</v>
      </c>
      <c r="BZ24" s="62">
        <v>51.21</v>
      </c>
      <c r="CB24" s="61">
        <v>26.88</v>
      </c>
      <c r="CC24">
        <v>32.955114667590472</v>
      </c>
      <c r="CD24" s="62">
        <v>31.96</v>
      </c>
    </row>
    <row r="25" spans="1:82" x14ac:dyDescent="0.25">
      <c r="A25" t="s">
        <v>199</v>
      </c>
      <c r="B25">
        <v>19.805</v>
      </c>
      <c r="C25" s="50">
        <v>131.99</v>
      </c>
      <c r="D25" s="39">
        <v>74.510000000000005</v>
      </c>
      <c r="E25" s="40">
        <v>5.89</v>
      </c>
      <c r="F25" s="41">
        <v>1.04</v>
      </c>
      <c r="G25" s="6">
        <v>47.3</v>
      </c>
      <c r="H25" s="51">
        <v>27.17</v>
      </c>
      <c r="K25" t="s">
        <v>199</v>
      </c>
      <c r="L25" s="40">
        <v>5.89</v>
      </c>
      <c r="N25" s="61">
        <v>5.22</v>
      </c>
      <c r="O25">
        <v>6.8007635065640804</v>
      </c>
      <c r="P25" s="62">
        <v>1.88</v>
      </c>
      <c r="R25" t="s">
        <v>249</v>
      </c>
      <c r="S25" t="e">
        <f>MODE(N5:N27)</f>
        <v>#N/A</v>
      </c>
      <c r="T25" t="e">
        <f t="shared" ref="T25:U25" si="16">MODE(O5:O27)</f>
        <v>#N/A</v>
      </c>
      <c r="U25">
        <f t="shared" si="16"/>
        <v>4.87</v>
      </c>
      <c r="W25" s="68" t="s">
        <v>261</v>
      </c>
      <c r="X25" s="72" t="str">
        <f>IF(X23&lt;X24,"no","yes")</f>
        <v>yes</v>
      </c>
      <c r="Y25" s="72" t="str">
        <f t="shared" ref="Y25:Z25" si="17">IF(Y23&lt;Y24,"no","yes")</f>
        <v>no</v>
      </c>
      <c r="Z25" s="72" t="str">
        <f t="shared" si="17"/>
        <v>yes</v>
      </c>
      <c r="BD25" s="61">
        <v>129.49</v>
      </c>
      <c r="BE25">
        <v>129.06494508524389</v>
      </c>
      <c r="BF25" s="62">
        <v>127.17</v>
      </c>
      <c r="BH25" s="61">
        <v>22.3</v>
      </c>
      <c r="BI25">
        <v>15.382416930769482</v>
      </c>
      <c r="BJ25" s="62">
        <v>18.57</v>
      </c>
      <c r="BL25" s="61">
        <v>87.31</v>
      </c>
      <c r="BM25">
        <v>73.296494376296508</v>
      </c>
      <c r="BN25" s="62">
        <v>93.8</v>
      </c>
      <c r="BP25" s="61">
        <v>5.22</v>
      </c>
      <c r="BQ25">
        <v>6.8007635065640804</v>
      </c>
      <c r="BR25" s="62">
        <v>1.88</v>
      </c>
      <c r="BT25" s="61">
        <v>-2.5299999999999998</v>
      </c>
      <c r="BU25">
        <v>2.6160986855412203</v>
      </c>
      <c r="BV25" s="62">
        <v>3.43</v>
      </c>
      <c r="BX25" s="61">
        <v>46.65</v>
      </c>
      <c r="BY25">
        <v>47.925740595529518</v>
      </c>
      <c r="BZ25" s="62">
        <v>51.33</v>
      </c>
      <c r="CB25" s="61">
        <v>33.04</v>
      </c>
      <c r="CC25">
        <v>32.053967048903004</v>
      </c>
      <c r="CD25" s="62">
        <v>34.82</v>
      </c>
    </row>
    <row r="26" spans="1:82" x14ac:dyDescent="0.25">
      <c r="A26" t="s">
        <v>199</v>
      </c>
      <c r="B26">
        <v>17.074999999999999</v>
      </c>
      <c r="C26" s="50">
        <v>129.13999999999999</v>
      </c>
      <c r="D26" s="39">
        <v>71.81</v>
      </c>
      <c r="E26" s="40">
        <v>6.02</v>
      </c>
      <c r="F26" s="41">
        <v>2.09</v>
      </c>
      <c r="G26" s="6">
        <v>46.73</v>
      </c>
      <c r="H26" s="51">
        <v>26.08</v>
      </c>
      <c r="K26" t="s">
        <v>199</v>
      </c>
      <c r="L26" s="40">
        <v>6.02</v>
      </c>
      <c r="N26" s="61">
        <v>4.16</v>
      </c>
      <c r="O26">
        <v>8.7247485588402718</v>
      </c>
      <c r="P26" s="62">
        <v>5.91</v>
      </c>
      <c r="R26" t="s">
        <v>250</v>
      </c>
      <c r="S26">
        <f>_xlfn.STDEV.S(N5:N27)</f>
        <v>1.2725597433500968</v>
      </c>
      <c r="T26">
        <f t="shared" ref="T26:U26" si="18">_xlfn.STDEV.S(O5:O27)</f>
        <v>1.4421587290548934</v>
      </c>
      <c r="U26">
        <f t="shared" si="18"/>
        <v>1.7512923517179475</v>
      </c>
      <c r="BD26" s="61">
        <v>134.56</v>
      </c>
      <c r="BE26">
        <v>133.00454705685257</v>
      </c>
      <c r="BF26" s="62">
        <v>133.35</v>
      </c>
      <c r="BH26" s="61">
        <v>16.990000000000002</v>
      </c>
      <c r="BI26">
        <v>18.208863235742221</v>
      </c>
      <c r="BJ26" s="62">
        <v>17.239999999999998</v>
      </c>
      <c r="BL26" s="61">
        <v>84.11</v>
      </c>
      <c r="BM26">
        <v>72.45330120301945</v>
      </c>
      <c r="BN26" s="62">
        <v>90.92</v>
      </c>
      <c r="BP26" s="61">
        <v>4.16</v>
      </c>
      <c r="BQ26">
        <v>8.7247485588402718</v>
      </c>
      <c r="BR26" s="62">
        <v>5.91</v>
      </c>
      <c r="BT26" s="61">
        <v>0.28000000000000003</v>
      </c>
      <c r="BU26">
        <v>6.3925302289483241</v>
      </c>
      <c r="BV26" s="62">
        <v>0.42</v>
      </c>
      <c r="BX26" s="61">
        <v>45.16</v>
      </c>
      <c r="BY26">
        <v>50.030984652674292</v>
      </c>
      <c r="BZ26" s="62">
        <v>49.75</v>
      </c>
      <c r="CB26" s="61">
        <v>23.91</v>
      </c>
      <c r="CC26">
        <v>27.820704451267392</v>
      </c>
      <c r="CD26" s="62">
        <v>32.909999999999997</v>
      </c>
    </row>
    <row r="27" spans="1:82" x14ac:dyDescent="0.25">
      <c r="A27" t="s">
        <v>199</v>
      </c>
      <c r="B27">
        <v>17.690000000000001</v>
      </c>
      <c r="C27" s="50">
        <v>132.02000000000001</v>
      </c>
      <c r="D27" s="39">
        <v>70.150000000000006</v>
      </c>
      <c r="E27" s="40">
        <v>7.89</v>
      </c>
      <c r="F27" s="41">
        <v>2.99</v>
      </c>
      <c r="G27" s="6">
        <v>48.44</v>
      </c>
      <c r="H27" s="51">
        <v>29.28</v>
      </c>
      <c r="K27" t="s">
        <v>199</v>
      </c>
      <c r="L27" s="40">
        <v>7.89</v>
      </c>
      <c r="N27" s="63">
        <v>3.97</v>
      </c>
      <c r="O27" s="64">
        <v>7.4835796956231242</v>
      </c>
      <c r="P27" s="65">
        <v>4.6500000000000004</v>
      </c>
      <c r="R27" t="s">
        <v>251</v>
      </c>
      <c r="S27">
        <f>_xlfn.VAR.S(N5:N27)</f>
        <v>1.6194083003952642</v>
      </c>
      <c r="T27">
        <f t="shared" ref="T27:U27" si="19">_xlfn.VAR.S(O5:O27)</f>
        <v>2.0798217997892254</v>
      </c>
      <c r="U27">
        <f t="shared" si="19"/>
        <v>3.0670249011857789</v>
      </c>
      <c r="W27" t="s">
        <v>262</v>
      </c>
      <c r="BD27" s="63">
        <v>135.12</v>
      </c>
      <c r="BE27" s="64">
        <v>131.19891840504582</v>
      </c>
      <c r="BF27" s="65">
        <v>123.47</v>
      </c>
      <c r="BH27" s="63">
        <v>15.83</v>
      </c>
      <c r="BI27" s="64">
        <v>15.089813275703385</v>
      </c>
      <c r="BJ27" s="65">
        <v>10.83</v>
      </c>
      <c r="BL27" s="63">
        <v>86.51</v>
      </c>
      <c r="BM27" s="64">
        <v>70.448775074385523</v>
      </c>
      <c r="BN27" s="65">
        <v>89.25</v>
      </c>
      <c r="BP27" s="63">
        <v>3.97</v>
      </c>
      <c r="BQ27" s="64">
        <v>7.4835796956231242</v>
      </c>
      <c r="BR27" s="65">
        <v>4.6500000000000004</v>
      </c>
      <c r="BT27" s="63">
        <v>5.51</v>
      </c>
      <c r="BU27" s="64">
        <v>6.1706069722494385</v>
      </c>
      <c r="BV27" s="65">
        <v>1.08</v>
      </c>
      <c r="BX27" s="63">
        <v>43.15</v>
      </c>
      <c r="BY27" s="64">
        <v>50.943396797197003</v>
      </c>
      <c r="BZ27" s="65">
        <v>45.8</v>
      </c>
      <c r="CB27" s="63">
        <v>24.19</v>
      </c>
      <c r="CC27" s="64">
        <v>32.034588679704264</v>
      </c>
      <c r="CD27" s="65">
        <v>27.59</v>
      </c>
    </row>
    <row r="28" spans="1:82" x14ac:dyDescent="0.25">
      <c r="A28" t="s">
        <v>199</v>
      </c>
      <c r="B28">
        <v>23.675000000000001</v>
      </c>
      <c r="C28" s="50">
        <v>131.43</v>
      </c>
      <c r="D28" s="39">
        <v>71.510000000000005</v>
      </c>
      <c r="E28" s="40">
        <v>5.96</v>
      </c>
      <c r="F28" s="41">
        <v>0.97</v>
      </c>
      <c r="G28" s="6">
        <v>51.34</v>
      </c>
      <c r="H28" s="51">
        <v>42.62</v>
      </c>
      <c r="K28" t="s">
        <v>199</v>
      </c>
      <c r="L28" s="40">
        <v>5.96</v>
      </c>
      <c r="R28" t="s">
        <v>252</v>
      </c>
      <c r="S28">
        <f>KURT(N5:N27)</f>
        <v>0.47961275799759795</v>
      </c>
      <c r="T28">
        <f t="shared" ref="T28:U28" si="20">KURT(O5:O27)</f>
        <v>5.1542082560009259</v>
      </c>
      <c r="U28">
        <f t="shared" si="20"/>
        <v>-1.0518914858108346</v>
      </c>
    </row>
    <row r="29" spans="1:82" x14ac:dyDescent="0.25">
      <c r="A29" t="s">
        <v>199</v>
      </c>
      <c r="B29">
        <v>26.574999999999999</v>
      </c>
      <c r="C29" s="50">
        <v>121.85</v>
      </c>
      <c r="D29" s="39">
        <v>72.430000000000007</v>
      </c>
      <c r="E29" s="40">
        <v>6.74</v>
      </c>
      <c r="F29" s="41">
        <v>3.63</v>
      </c>
      <c r="G29" s="6">
        <v>51.16</v>
      </c>
      <c r="H29" s="51">
        <v>47.1</v>
      </c>
      <c r="K29" t="s">
        <v>199</v>
      </c>
      <c r="L29" s="40">
        <v>6.74</v>
      </c>
      <c r="R29" t="s">
        <v>253</v>
      </c>
      <c r="S29">
        <f>SKEW(N5:N27)</f>
        <v>-0.5444944258968456</v>
      </c>
      <c r="T29">
        <f t="shared" ref="T29:U29" si="21">SKEW(O5:O27)</f>
        <v>1.8973550446990253</v>
      </c>
      <c r="U29">
        <f t="shared" si="21"/>
        <v>0.23849909724124135</v>
      </c>
      <c r="W29" s="67" t="s">
        <v>263</v>
      </c>
      <c r="X29" s="67">
        <v>1.9032812672256192</v>
      </c>
      <c r="Y29" s="67">
        <v>20.049366316067434</v>
      </c>
      <c r="Z29" s="67">
        <v>2.5658517713041662</v>
      </c>
    </row>
    <row r="30" spans="1:82" x14ac:dyDescent="0.25">
      <c r="A30" t="s">
        <v>199</v>
      </c>
      <c r="B30">
        <v>18.810000000000002</v>
      </c>
      <c r="C30" s="50">
        <v>137.77000000000001</v>
      </c>
      <c r="D30" s="39">
        <v>72.53</v>
      </c>
      <c r="E30" s="40">
        <v>6.76</v>
      </c>
      <c r="F30" s="41">
        <v>5.16</v>
      </c>
      <c r="G30" s="6">
        <v>48.6</v>
      </c>
      <c r="H30" s="51">
        <v>25.15</v>
      </c>
      <c r="K30" t="s">
        <v>199</v>
      </c>
      <c r="L30" s="40">
        <v>6.76</v>
      </c>
      <c r="R30" t="s">
        <v>254</v>
      </c>
      <c r="S30">
        <f>S31-S32</f>
        <v>5.2799999999999994</v>
      </c>
      <c r="T30">
        <f t="shared" ref="T30:U30" si="22">T31-T32</f>
        <v>6.9</v>
      </c>
      <c r="U30">
        <f t="shared" si="22"/>
        <v>5.67</v>
      </c>
      <c r="W30" t="s">
        <v>53</v>
      </c>
      <c r="X30">
        <v>0.38610704333871915</v>
      </c>
      <c r="Y30">
        <v>4.4293033171438623E-5</v>
      </c>
      <c r="Z30">
        <v>0.27722498405700535</v>
      </c>
    </row>
    <row r="31" spans="1:82" x14ac:dyDescent="0.25">
      <c r="A31" t="s">
        <v>199</v>
      </c>
      <c r="B31">
        <v>23.265000000000001</v>
      </c>
      <c r="C31" s="50">
        <v>128.91</v>
      </c>
      <c r="D31" s="39">
        <v>72.290000000000006</v>
      </c>
      <c r="E31" s="40">
        <v>7.81</v>
      </c>
      <c r="F31" s="41">
        <v>1.78</v>
      </c>
      <c r="G31" s="6">
        <v>50.4</v>
      </c>
      <c r="H31" s="51">
        <v>35.58</v>
      </c>
      <c r="K31" t="s">
        <v>199</v>
      </c>
      <c r="L31" s="40">
        <v>7.81</v>
      </c>
      <c r="R31" t="s">
        <v>41</v>
      </c>
      <c r="S31">
        <f>MAX(N5:N27)</f>
        <v>5.84</v>
      </c>
      <c r="T31">
        <f t="shared" ref="T31:U31" si="23">MAX(O5:O27)</f>
        <v>11.64</v>
      </c>
      <c r="U31">
        <f t="shared" si="23"/>
        <v>6.73</v>
      </c>
      <c r="W31" t="s">
        <v>228</v>
      </c>
      <c r="X31">
        <v>0.05</v>
      </c>
      <c r="Y31">
        <v>0.05</v>
      </c>
      <c r="Z31">
        <v>0.05</v>
      </c>
    </row>
    <row r="32" spans="1:82" x14ac:dyDescent="0.25">
      <c r="A32" t="s">
        <v>199</v>
      </c>
      <c r="B32">
        <v>21.695</v>
      </c>
      <c r="C32" s="50">
        <v>133.69999999999999</v>
      </c>
      <c r="D32" s="39">
        <v>72.2</v>
      </c>
      <c r="E32" s="40">
        <v>5.87</v>
      </c>
      <c r="F32" s="41">
        <v>3.99</v>
      </c>
      <c r="G32" s="6">
        <v>47.67</v>
      </c>
      <c r="H32" s="51">
        <v>29.29</v>
      </c>
      <c r="K32" t="s">
        <v>199</v>
      </c>
      <c r="L32" s="40">
        <v>5.87</v>
      </c>
      <c r="R32" t="s">
        <v>42</v>
      </c>
      <c r="S32">
        <f>MIN(N5:N27)</f>
        <v>0.56000000000000005</v>
      </c>
      <c r="T32">
        <f t="shared" ref="T32:U32" si="24">MIN(O5:O27)</f>
        <v>4.74</v>
      </c>
      <c r="U32">
        <f t="shared" si="24"/>
        <v>1.06</v>
      </c>
      <c r="W32" s="68" t="s">
        <v>261</v>
      </c>
      <c r="X32" s="72" t="str">
        <f>IF(X30&lt;X31,"no","yes")</f>
        <v>yes</v>
      </c>
      <c r="Y32" s="72" t="str">
        <f t="shared" ref="Y32:Z32" si="25">IF(Y30&lt;Y31,"no","yes")</f>
        <v>no</v>
      </c>
      <c r="Z32" s="72" t="str">
        <f t="shared" si="25"/>
        <v>yes</v>
      </c>
    </row>
    <row r="33" spans="1:26" x14ac:dyDescent="0.25">
      <c r="A33" t="s">
        <v>199</v>
      </c>
      <c r="B33">
        <v>17.045000000000002</v>
      </c>
      <c r="C33" s="50">
        <v>133.44</v>
      </c>
      <c r="D33" s="39">
        <v>74.260000000000005</v>
      </c>
      <c r="E33" s="40">
        <v>6.3</v>
      </c>
      <c r="F33" s="41">
        <v>1.52</v>
      </c>
      <c r="G33" s="6">
        <v>47.12</v>
      </c>
      <c r="H33" s="51">
        <v>30.19</v>
      </c>
      <c r="K33" t="s">
        <v>199</v>
      </c>
      <c r="L33" s="40">
        <v>6.3</v>
      </c>
      <c r="R33" t="s">
        <v>204</v>
      </c>
      <c r="S33">
        <f>SUM(N5:N27)</f>
        <v>86.499999999999986</v>
      </c>
      <c r="T33">
        <f t="shared" ref="T33:U33" si="26">SUM(O5:O27)</f>
        <v>155.06716632450176</v>
      </c>
      <c r="U33">
        <f t="shared" si="26"/>
        <v>83.399999999999977</v>
      </c>
    </row>
    <row r="34" spans="1:26" x14ac:dyDescent="0.25">
      <c r="A34" t="s">
        <v>199</v>
      </c>
      <c r="B34">
        <v>20.434999999999999</v>
      </c>
      <c r="C34" s="50">
        <v>135.12</v>
      </c>
      <c r="D34" s="39">
        <v>74.61</v>
      </c>
      <c r="E34" s="40">
        <v>5.51</v>
      </c>
      <c r="F34" s="41">
        <v>4.04</v>
      </c>
      <c r="G34" s="6">
        <v>51.96</v>
      </c>
      <c r="H34" s="51">
        <v>34.08</v>
      </c>
      <c r="K34" t="s">
        <v>199</v>
      </c>
      <c r="L34" s="40">
        <v>5.51</v>
      </c>
      <c r="R34" t="s">
        <v>203</v>
      </c>
      <c r="S34">
        <f>COUNT(N5:N27)</f>
        <v>23</v>
      </c>
      <c r="T34">
        <f t="shared" ref="T34:U34" si="27">COUNT(O5:O27)</f>
        <v>23</v>
      </c>
      <c r="U34">
        <f t="shared" si="27"/>
        <v>23</v>
      </c>
    </row>
    <row r="35" spans="1:26" x14ac:dyDescent="0.25">
      <c r="A35" t="s">
        <v>199</v>
      </c>
      <c r="B35">
        <v>17.914999999999999</v>
      </c>
      <c r="C35" s="50">
        <v>121.28</v>
      </c>
      <c r="D35" s="39">
        <v>71.650000000000006</v>
      </c>
      <c r="E35" s="40">
        <v>6.72</v>
      </c>
      <c r="F35" s="41">
        <v>6.98</v>
      </c>
      <c r="G35" s="6">
        <v>45.48</v>
      </c>
      <c r="H35" s="51">
        <v>31.39</v>
      </c>
      <c r="K35" t="s">
        <v>199</v>
      </c>
      <c r="L35" s="40">
        <v>6.72</v>
      </c>
      <c r="R35" t="s">
        <v>255</v>
      </c>
      <c r="S35">
        <f>GEOMEAN(N5:N27)</f>
        <v>3.4517842064880124</v>
      </c>
      <c r="T35">
        <f t="shared" ref="T35:U35" si="28">GEOMEAN(O5:O27)</f>
        <v>6.61734219577394</v>
      </c>
      <c r="U35">
        <f t="shared" si="28"/>
        <v>3.1808638539625522</v>
      </c>
    </row>
    <row r="36" spans="1:26" x14ac:dyDescent="0.25">
      <c r="A36" t="s">
        <v>199</v>
      </c>
      <c r="B36">
        <v>18.18</v>
      </c>
      <c r="C36" s="50">
        <v>129.83000000000001</v>
      </c>
      <c r="D36" s="39">
        <v>73.37</v>
      </c>
      <c r="E36" s="40">
        <v>5.43</v>
      </c>
      <c r="F36" s="41">
        <v>0.57999999999999996</v>
      </c>
      <c r="G36" s="6">
        <v>48.83</v>
      </c>
      <c r="H36" s="51">
        <v>32.79</v>
      </c>
      <c r="K36" t="s">
        <v>199</v>
      </c>
      <c r="L36" s="40">
        <v>5.43</v>
      </c>
      <c r="R36" t="s">
        <v>256</v>
      </c>
      <c r="S36">
        <f>HARMEAN(N5:N27)</f>
        <v>2.8999777582195763</v>
      </c>
      <c r="T36">
        <f t="shared" ref="T36:U36" si="29">HARMEAN(O5:O27)</f>
        <v>6.5099255503705367</v>
      </c>
      <c r="U36">
        <f t="shared" si="29"/>
        <v>2.7330962465231607</v>
      </c>
    </row>
    <row r="37" spans="1:26" x14ac:dyDescent="0.25">
      <c r="A37" t="s">
        <v>199</v>
      </c>
      <c r="B37">
        <v>17.645</v>
      </c>
      <c r="C37" s="50">
        <v>136.54</v>
      </c>
      <c r="D37" s="39">
        <v>72.989999999999995</v>
      </c>
      <c r="E37" s="40">
        <v>8.14</v>
      </c>
      <c r="F37" s="41">
        <v>2.6</v>
      </c>
      <c r="G37" s="6">
        <v>45.03</v>
      </c>
      <c r="H37" s="51">
        <v>29.04</v>
      </c>
      <c r="K37" t="s">
        <v>199</v>
      </c>
      <c r="L37" s="40">
        <v>8.14</v>
      </c>
      <c r="R37" t="s">
        <v>257</v>
      </c>
      <c r="S37">
        <f>AVEDEV(N5:N27)</f>
        <v>0.97901701323251411</v>
      </c>
      <c r="T37">
        <f t="shared" ref="T37:U37" si="30">AVEDEV(O5:O27)</f>
        <v>0.99831611940686538</v>
      </c>
      <c r="U37">
        <f t="shared" si="30"/>
        <v>1.4997353497164461</v>
      </c>
    </row>
    <row r="38" spans="1:26" x14ac:dyDescent="0.25">
      <c r="A38" t="s">
        <v>199</v>
      </c>
      <c r="B38">
        <v>20.490000000000002</v>
      </c>
      <c r="C38" s="50">
        <v>125.82</v>
      </c>
      <c r="D38" s="39">
        <v>71.180000000000007</v>
      </c>
      <c r="E38" s="40">
        <v>5.95</v>
      </c>
      <c r="F38" s="41">
        <v>2.19</v>
      </c>
      <c r="G38" s="6">
        <v>54.76</v>
      </c>
      <c r="H38" s="51">
        <v>39.619999999999997</v>
      </c>
      <c r="K38" t="s">
        <v>199</v>
      </c>
      <c r="L38" s="40">
        <v>5.95</v>
      </c>
      <c r="R38" t="s">
        <v>258</v>
      </c>
      <c r="S38">
        <v>0.85999999999999988</v>
      </c>
      <c r="T38">
        <v>0.50076350656408053</v>
      </c>
      <c r="U38">
        <v>1.5100000000000002</v>
      </c>
    </row>
    <row r="39" spans="1:26" x14ac:dyDescent="0.25">
      <c r="A39" t="s">
        <v>199</v>
      </c>
      <c r="B39">
        <v>16.225000000000001</v>
      </c>
      <c r="C39">
        <v>126.29</v>
      </c>
      <c r="D39">
        <v>75.34</v>
      </c>
      <c r="E39">
        <v>4.74</v>
      </c>
      <c r="F39">
        <v>3.81</v>
      </c>
      <c r="G39">
        <v>47.63</v>
      </c>
      <c r="H39">
        <v>31.2</v>
      </c>
      <c r="K39" t="s">
        <v>199</v>
      </c>
      <c r="L39">
        <v>4.74</v>
      </c>
      <c r="R39" s="68" t="s">
        <v>43</v>
      </c>
      <c r="S39" s="68">
        <v>1.4199999999999995</v>
      </c>
      <c r="T39" s="68">
        <v>1.3167898478115623</v>
      </c>
      <c r="U39" s="68">
        <v>2.625</v>
      </c>
    </row>
    <row r="40" spans="1:26" x14ac:dyDescent="0.25">
      <c r="A40" t="s">
        <v>199</v>
      </c>
      <c r="B40">
        <v>15.29</v>
      </c>
      <c r="C40">
        <v>126.22</v>
      </c>
      <c r="D40">
        <v>73.3</v>
      </c>
      <c r="E40">
        <v>5.72</v>
      </c>
      <c r="F40">
        <v>7.81</v>
      </c>
      <c r="G40" s="6">
        <v>48.55</v>
      </c>
      <c r="H40">
        <v>27.4</v>
      </c>
      <c r="K40" t="s">
        <v>199</v>
      </c>
      <c r="L40">
        <v>5.72</v>
      </c>
    </row>
    <row r="41" spans="1:26" x14ac:dyDescent="0.25">
      <c r="A41" t="s">
        <v>199</v>
      </c>
      <c r="B41">
        <v>14.445</v>
      </c>
      <c r="C41">
        <v>137.27000000000001</v>
      </c>
      <c r="D41">
        <v>73.510000000000005</v>
      </c>
      <c r="E41">
        <v>6.24</v>
      </c>
      <c r="F41">
        <v>2.39</v>
      </c>
      <c r="G41">
        <v>47.95</v>
      </c>
      <c r="H41">
        <v>26.88</v>
      </c>
      <c r="K41" t="s">
        <v>199</v>
      </c>
      <c r="L41">
        <v>6.24</v>
      </c>
    </row>
    <row r="42" spans="1:26" x14ac:dyDescent="0.25">
      <c r="A42" t="s">
        <v>199</v>
      </c>
      <c r="B42">
        <v>13.705</v>
      </c>
      <c r="C42" s="50">
        <v>131.52000000000001</v>
      </c>
      <c r="D42" s="39">
        <v>67.86</v>
      </c>
      <c r="E42" s="40">
        <v>11.64</v>
      </c>
      <c r="F42" s="41">
        <v>3.32</v>
      </c>
      <c r="G42" s="6">
        <v>52.6</v>
      </c>
      <c r="H42" s="51">
        <v>36</v>
      </c>
      <c r="K42" t="s">
        <v>199</v>
      </c>
      <c r="L42" s="40">
        <v>11.64</v>
      </c>
      <c r="R42" t="str">
        <f>+R3</f>
        <v>ANB*</v>
      </c>
      <c r="W42" t="str">
        <f>+AK4</f>
        <v>TUKEY HSD/KRAMER</v>
      </c>
    </row>
    <row r="43" spans="1:26" x14ac:dyDescent="0.25">
      <c r="A43" t="s">
        <v>199</v>
      </c>
      <c r="B43">
        <v>22.37</v>
      </c>
      <c r="C43" s="50">
        <v>127.51</v>
      </c>
      <c r="D43" s="39">
        <v>70.92</v>
      </c>
      <c r="E43" s="40">
        <v>6.91</v>
      </c>
      <c r="F43" s="41">
        <v>3.18</v>
      </c>
      <c r="G43" s="6">
        <v>59.27</v>
      </c>
      <c r="H43" s="51">
        <v>43.03</v>
      </c>
      <c r="K43" t="s">
        <v>199</v>
      </c>
      <c r="L43" s="40">
        <v>6.91</v>
      </c>
      <c r="R43">
        <f>+R21</f>
        <v>0</v>
      </c>
      <c r="S43" t="str">
        <f t="shared" ref="S43:U43" si="31">+S21</f>
        <v>CLASE I</v>
      </c>
      <c r="T43" t="str">
        <f t="shared" si="31"/>
        <v>CLASE II</v>
      </c>
      <c r="U43" t="str">
        <f t="shared" si="31"/>
        <v>CLASE III</v>
      </c>
      <c r="W43" t="str">
        <f>+AK11</f>
        <v>group 1</v>
      </c>
      <c r="X43" t="str">
        <f t="shared" ref="X43:Y43" si="32">+AL11</f>
        <v>group 2</v>
      </c>
      <c r="Y43" t="str">
        <f t="shared" si="32"/>
        <v>mean</v>
      </c>
      <c r="Z43" t="str">
        <f>+AR11</f>
        <v>p-value</v>
      </c>
    </row>
    <row r="44" spans="1:26" x14ac:dyDescent="0.25">
      <c r="A44" t="s">
        <v>199</v>
      </c>
      <c r="B44">
        <v>27.573308198025668</v>
      </c>
      <c r="C44" s="56">
        <v>138.15383332762181</v>
      </c>
      <c r="D44" s="56">
        <v>69.363383994012565</v>
      </c>
      <c r="E44" s="56">
        <v>5.8180745634743021</v>
      </c>
      <c r="F44" s="56">
        <v>2.5538514782876596</v>
      </c>
      <c r="G44" s="56">
        <v>46.831097097137864</v>
      </c>
      <c r="H44" s="56">
        <v>32.955114667590472</v>
      </c>
      <c r="K44" t="s">
        <v>199</v>
      </c>
      <c r="L44" s="56">
        <v>5.8180745634743021</v>
      </c>
      <c r="R44" t="str">
        <f>+R34</f>
        <v>Count</v>
      </c>
      <c r="S44">
        <f t="shared" ref="S44:U44" si="33">+S34</f>
        <v>23</v>
      </c>
      <c r="T44">
        <f t="shared" si="33"/>
        <v>23</v>
      </c>
      <c r="U44">
        <f t="shared" si="33"/>
        <v>23</v>
      </c>
      <c r="W44" t="str">
        <f t="shared" ref="W44:W46" si="34">+AK12</f>
        <v>CLASE I</v>
      </c>
      <c r="X44" t="str">
        <f t="shared" ref="X44:X46" si="35">+AL12</f>
        <v>CLASE II</v>
      </c>
      <c r="Y44">
        <f t="shared" ref="Y44:Y46" si="36">+AM12</f>
        <v>2.9811811445435552</v>
      </c>
      <c r="Z44">
        <f t="shared" ref="Z44:Z46" si="37">+AR12</f>
        <v>1.4494664246633704E-8</v>
      </c>
    </row>
    <row r="45" spans="1:26" x14ac:dyDescent="0.25">
      <c r="A45" t="s">
        <v>199</v>
      </c>
      <c r="B45">
        <v>15.382416930769482</v>
      </c>
      <c r="C45" s="56">
        <v>129.06494508524389</v>
      </c>
      <c r="D45" s="56">
        <v>73.296494376296508</v>
      </c>
      <c r="E45" s="56">
        <v>6.8007635065640804</v>
      </c>
      <c r="F45" s="56">
        <v>2.6160986855412203</v>
      </c>
      <c r="G45" s="56">
        <v>47.925740595529518</v>
      </c>
      <c r="H45" s="56">
        <v>32.053967048903004</v>
      </c>
      <c r="K45" t="s">
        <v>199</v>
      </c>
      <c r="L45" s="56">
        <v>6.8007635065640804</v>
      </c>
      <c r="R45" t="str">
        <f>+R22</f>
        <v>Mean</v>
      </c>
      <c r="S45">
        <f t="shared" ref="S45:U45" si="38">+S22</f>
        <v>3.7608695652173907</v>
      </c>
      <c r="T45">
        <f t="shared" si="38"/>
        <v>6.7420507097609459</v>
      </c>
      <c r="U45">
        <f t="shared" si="38"/>
        <v>3.6260869565217382</v>
      </c>
      <c r="W45" t="str">
        <f t="shared" si="34"/>
        <v>CLASE I</v>
      </c>
      <c r="X45" t="str">
        <f t="shared" si="35"/>
        <v>CLASE III</v>
      </c>
      <c r="Y45">
        <f t="shared" si="36"/>
        <v>0.13478260869565251</v>
      </c>
      <c r="Z45">
        <f t="shared" si="37"/>
        <v>0.95026126846629499</v>
      </c>
    </row>
    <row r="46" spans="1:26" x14ac:dyDescent="0.25">
      <c r="A46" t="s">
        <v>199</v>
      </c>
      <c r="B46">
        <v>18.208863235742221</v>
      </c>
      <c r="C46" s="56">
        <v>133.00454705685257</v>
      </c>
      <c r="D46" s="56">
        <v>72.45330120301945</v>
      </c>
      <c r="E46" s="56">
        <v>8.7247485588402718</v>
      </c>
      <c r="F46" s="56">
        <v>6.3925302289483241</v>
      </c>
      <c r="G46" s="56">
        <v>50.030984652674292</v>
      </c>
      <c r="H46" s="56">
        <v>27.820704451267392</v>
      </c>
      <c r="K46" t="s">
        <v>199</v>
      </c>
      <c r="L46" s="56">
        <v>8.7247485588402718</v>
      </c>
      <c r="R46" t="str">
        <f t="shared" ref="R46:U47" si="39">+R23</f>
        <v>Standard Error</v>
      </c>
      <c r="S46">
        <f t="shared" si="39"/>
        <v>0.26534704923726687</v>
      </c>
      <c r="T46">
        <f t="shared" si="39"/>
        <v>0.30071088236617677</v>
      </c>
      <c r="U46">
        <f t="shared" si="39"/>
        <v>0.36516969856110437</v>
      </c>
      <c r="W46" t="str">
        <f t="shared" si="34"/>
        <v>CLASE II</v>
      </c>
      <c r="X46" t="str">
        <f t="shared" si="35"/>
        <v>CLASE III</v>
      </c>
      <c r="Y46">
        <f t="shared" si="36"/>
        <v>3.1159637532392077</v>
      </c>
      <c r="Z46">
        <f t="shared" si="37"/>
        <v>4.1825635177517029E-9</v>
      </c>
    </row>
    <row r="47" spans="1:26" x14ac:dyDescent="0.25">
      <c r="A47" t="s">
        <v>199</v>
      </c>
      <c r="B47">
        <v>15.089813275703385</v>
      </c>
      <c r="C47" s="56">
        <v>131.19891840504582</v>
      </c>
      <c r="D47" s="56">
        <v>70.448775074385523</v>
      </c>
      <c r="E47" s="56">
        <v>7.4835796956231242</v>
      </c>
      <c r="F47" s="56">
        <v>6.1706069722494385</v>
      </c>
      <c r="G47" s="56">
        <v>50.943396797197003</v>
      </c>
      <c r="H47" s="56">
        <v>32.034588679704264</v>
      </c>
      <c r="K47" t="s">
        <v>199</v>
      </c>
      <c r="L47" s="56">
        <v>7.4835796956231242</v>
      </c>
      <c r="R47" t="str">
        <f t="shared" si="39"/>
        <v>Median</v>
      </c>
      <c r="S47">
        <f t="shared" si="39"/>
        <v>3.97</v>
      </c>
      <c r="T47">
        <f t="shared" si="39"/>
        <v>6.3</v>
      </c>
      <c r="U47">
        <f t="shared" si="39"/>
        <v>3.97</v>
      </c>
    </row>
    <row r="48" spans="1:26" x14ac:dyDescent="0.25">
      <c r="A48" t="s">
        <v>196</v>
      </c>
      <c r="B48">
        <v>18.204999999999998</v>
      </c>
      <c r="C48" s="2">
        <v>130.22</v>
      </c>
      <c r="D48" s="3">
        <v>87.83</v>
      </c>
      <c r="E48" s="9">
        <v>4.01</v>
      </c>
      <c r="F48" s="5">
        <v>4.1100000000000003</v>
      </c>
      <c r="G48" s="6">
        <v>50.43</v>
      </c>
      <c r="H48" s="7">
        <v>28.6</v>
      </c>
      <c r="K48" t="s">
        <v>196</v>
      </c>
      <c r="L48" s="9">
        <v>4.01</v>
      </c>
      <c r="R48" t="str">
        <f>+R31</f>
        <v>Maximum</v>
      </c>
      <c r="S48">
        <f t="shared" ref="S48:U48" si="40">+S31</f>
        <v>5.84</v>
      </c>
      <c r="T48">
        <f t="shared" si="40"/>
        <v>11.64</v>
      </c>
      <c r="U48">
        <f t="shared" si="40"/>
        <v>6.73</v>
      </c>
    </row>
    <row r="49" spans="1:26" x14ac:dyDescent="0.25">
      <c r="A49" t="s">
        <v>196</v>
      </c>
      <c r="B49">
        <v>16.924999999999997</v>
      </c>
      <c r="C49" s="2">
        <v>128.88999999999999</v>
      </c>
      <c r="D49" s="3">
        <v>102.87</v>
      </c>
      <c r="E49" s="9">
        <v>3.06</v>
      </c>
      <c r="F49" s="5">
        <v>2.82</v>
      </c>
      <c r="G49" s="6">
        <v>45.99</v>
      </c>
      <c r="H49" s="7">
        <v>27.24</v>
      </c>
      <c r="K49" t="s">
        <v>196</v>
      </c>
      <c r="L49" s="9">
        <v>3.06</v>
      </c>
      <c r="R49" t="str">
        <f>+R32</f>
        <v>Minimum</v>
      </c>
      <c r="S49">
        <f t="shared" ref="S49:U49" si="41">+S32</f>
        <v>0.56000000000000005</v>
      </c>
      <c r="T49">
        <f t="shared" si="41"/>
        <v>4.74</v>
      </c>
      <c r="U49">
        <f t="shared" si="41"/>
        <v>1.06</v>
      </c>
    </row>
    <row r="50" spans="1:26" x14ac:dyDescent="0.25">
      <c r="A50" t="s">
        <v>196</v>
      </c>
      <c r="B50">
        <v>17.155000000000001</v>
      </c>
      <c r="C50" s="2">
        <v>118.07</v>
      </c>
      <c r="D50" s="3">
        <v>96.24</v>
      </c>
      <c r="E50" s="9">
        <v>6.07</v>
      </c>
      <c r="F50" s="5">
        <v>0.79</v>
      </c>
      <c r="G50" s="6">
        <v>44.43</v>
      </c>
      <c r="H50" s="7">
        <v>27.65</v>
      </c>
      <c r="K50" t="s">
        <v>196</v>
      </c>
      <c r="L50" s="9">
        <v>6.07</v>
      </c>
      <c r="R50" t="str">
        <f>+R39</f>
        <v>IQR</v>
      </c>
      <c r="S50">
        <f t="shared" ref="S50:U50" si="42">+S39</f>
        <v>1.4199999999999995</v>
      </c>
      <c r="T50">
        <f t="shared" si="42"/>
        <v>1.3167898478115623</v>
      </c>
      <c r="U50">
        <f t="shared" si="42"/>
        <v>2.625</v>
      </c>
    </row>
    <row r="51" spans="1:26" x14ac:dyDescent="0.25">
      <c r="A51" t="s">
        <v>196</v>
      </c>
      <c r="B51">
        <v>10.905000000000001</v>
      </c>
      <c r="C51" s="2">
        <v>131.84</v>
      </c>
      <c r="D51" s="3">
        <v>93.49</v>
      </c>
      <c r="E51" s="9">
        <v>4.87</v>
      </c>
      <c r="F51" s="5">
        <v>1.95</v>
      </c>
      <c r="G51" s="6">
        <v>49.19</v>
      </c>
      <c r="H51" s="7">
        <v>28.1</v>
      </c>
      <c r="K51" t="s">
        <v>196</v>
      </c>
      <c r="L51" s="9">
        <v>4.87</v>
      </c>
      <c r="R51" t="str">
        <f>+W23</f>
        <v>p-value</v>
      </c>
      <c r="S51">
        <f t="shared" ref="S51:U51" si="43">+X23</f>
        <v>0.71540186691416552</v>
      </c>
      <c r="T51">
        <f t="shared" si="43"/>
        <v>1.7601578586553535E-3</v>
      </c>
      <c r="U51">
        <f t="shared" si="43"/>
        <v>0.22535792002810473</v>
      </c>
    </row>
    <row r="52" spans="1:26" x14ac:dyDescent="0.25">
      <c r="A52" t="s">
        <v>196</v>
      </c>
      <c r="B52">
        <v>25.314999999999998</v>
      </c>
      <c r="C52" s="2">
        <v>140.83000000000001</v>
      </c>
      <c r="D52" s="3">
        <v>88.4</v>
      </c>
      <c r="E52" s="9">
        <v>4.3499999999999996</v>
      </c>
      <c r="F52" s="5">
        <v>3.23</v>
      </c>
      <c r="G52" s="6">
        <v>48.82</v>
      </c>
      <c r="H52" s="7">
        <v>34.36</v>
      </c>
      <c r="K52" t="s">
        <v>196</v>
      </c>
      <c r="L52" s="9">
        <v>4.3499999999999996</v>
      </c>
      <c r="R52" t="str">
        <f>+W13</f>
        <v>P value</v>
      </c>
      <c r="S52">
        <f>+W14</f>
        <v>2.3166675774851281E-10</v>
      </c>
    </row>
    <row r="53" spans="1:26" x14ac:dyDescent="0.25">
      <c r="A53" t="s">
        <v>196</v>
      </c>
      <c r="B53">
        <v>12.47</v>
      </c>
      <c r="C53" s="2">
        <v>120.64</v>
      </c>
      <c r="D53" s="3">
        <v>103.13</v>
      </c>
      <c r="E53" s="9">
        <v>4.4800000000000004</v>
      </c>
      <c r="F53" s="5">
        <v>1.84</v>
      </c>
      <c r="G53" s="6">
        <v>45.66</v>
      </c>
      <c r="H53" s="7">
        <v>28.52</v>
      </c>
      <c r="K53" t="s">
        <v>196</v>
      </c>
      <c r="L53" s="9">
        <v>4.4800000000000004</v>
      </c>
    </row>
    <row r="54" spans="1:26" x14ac:dyDescent="0.25">
      <c r="A54" t="s">
        <v>196</v>
      </c>
      <c r="B54">
        <v>20.655000000000001</v>
      </c>
      <c r="C54" s="2">
        <v>136.80000000000001</v>
      </c>
      <c r="D54" s="3">
        <v>94.39</v>
      </c>
      <c r="E54" s="9">
        <v>1.06</v>
      </c>
      <c r="F54" s="5">
        <v>2.96</v>
      </c>
      <c r="G54" s="6">
        <v>44.43</v>
      </c>
      <c r="H54" s="7">
        <v>28.55</v>
      </c>
      <c r="K54" t="s">
        <v>196</v>
      </c>
      <c r="L54" s="9">
        <v>1.06</v>
      </c>
    </row>
    <row r="55" spans="1:26" x14ac:dyDescent="0.25">
      <c r="A55" t="s">
        <v>196</v>
      </c>
      <c r="B55">
        <v>7.93</v>
      </c>
      <c r="C55" s="2">
        <v>125.02</v>
      </c>
      <c r="D55" s="3">
        <v>108.46</v>
      </c>
      <c r="E55" s="9">
        <v>6.62</v>
      </c>
      <c r="F55" s="5">
        <v>3.32</v>
      </c>
      <c r="G55" s="6">
        <v>48.87</v>
      </c>
      <c r="H55" s="7">
        <v>31.91</v>
      </c>
      <c r="K55" t="s">
        <v>196</v>
      </c>
      <c r="L55" s="9">
        <v>6.62</v>
      </c>
    </row>
    <row r="56" spans="1:26" x14ac:dyDescent="0.25">
      <c r="A56" t="s">
        <v>196</v>
      </c>
      <c r="B56">
        <v>19.215</v>
      </c>
      <c r="C56" s="2">
        <v>131.46</v>
      </c>
      <c r="D56" s="3">
        <v>93.2</v>
      </c>
      <c r="E56" s="9">
        <v>2.52</v>
      </c>
      <c r="F56" s="5">
        <v>1.27</v>
      </c>
      <c r="G56" s="6">
        <v>45.65</v>
      </c>
      <c r="H56" s="7">
        <v>36.979999999999997</v>
      </c>
      <c r="K56" t="s">
        <v>196</v>
      </c>
      <c r="L56" s="9">
        <v>2.52</v>
      </c>
      <c r="R56" t="s">
        <v>28</v>
      </c>
      <c r="W56" t="s">
        <v>235</v>
      </c>
    </row>
    <row r="57" spans="1:26" x14ac:dyDescent="0.25">
      <c r="A57" t="s">
        <v>196</v>
      </c>
      <c r="B57">
        <v>19.475000000000001</v>
      </c>
      <c r="C57" s="2">
        <v>124.96</v>
      </c>
      <c r="D57" s="3">
        <v>89.34</v>
      </c>
      <c r="E57" s="9">
        <v>3.97</v>
      </c>
      <c r="F57" s="5">
        <v>1.38</v>
      </c>
      <c r="G57" s="6">
        <v>49.18</v>
      </c>
      <c r="H57" s="7">
        <v>32.5</v>
      </c>
      <c r="K57" t="s">
        <v>196</v>
      </c>
      <c r="L57" s="9">
        <v>3.97</v>
      </c>
      <c r="R57">
        <v>0</v>
      </c>
      <c r="S57" t="s">
        <v>197</v>
      </c>
      <c r="T57" t="s">
        <v>199</v>
      </c>
      <c r="U57" t="s">
        <v>196</v>
      </c>
      <c r="W57" t="s">
        <v>50</v>
      </c>
      <c r="X57" t="s">
        <v>51</v>
      </c>
      <c r="Y57" t="s">
        <v>52</v>
      </c>
      <c r="Z57" t="s">
        <v>53</v>
      </c>
    </row>
    <row r="58" spans="1:26" x14ac:dyDescent="0.25">
      <c r="A58" t="s">
        <v>196</v>
      </c>
      <c r="B58">
        <v>12.015000000000001</v>
      </c>
      <c r="C58" s="2">
        <v>136.18</v>
      </c>
      <c r="D58" s="3">
        <v>89.71</v>
      </c>
      <c r="E58" s="9">
        <v>4.87</v>
      </c>
      <c r="F58" s="5">
        <v>2.58</v>
      </c>
      <c r="G58" s="6">
        <v>43.33</v>
      </c>
      <c r="H58" s="7">
        <v>30.94</v>
      </c>
      <c r="K58" t="s">
        <v>196</v>
      </c>
      <c r="L58" s="9">
        <v>4.87</v>
      </c>
      <c r="R58" t="s">
        <v>203</v>
      </c>
      <c r="S58">
        <v>23</v>
      </c>
      <c r="T58">
        <v>23</v>
      </c>
      <c r="U58">
        <v>23</v>
      </c>
      <c r="W58" t="s">
        <v>197</v>
      </c>
      <c r="X58" t="s">
        <v>199</v>
      </c>
      <c r="Y58">
        <v>2.9811811445435552</v>
      </c>
      <c r="Z58">
        <v>1.4494664246633704E-8</v>
      </c>
    </row>
    <row r="59" spans="1:26" x14ac:dyDescent="0.25">
      <c r="A59" t="s">
        <v>196</v>
      </c>
      <c r="B59">
        <v>16.355</v>
      </c>
      <c r="C59" s="2">
        <v>131.4</v>
      </c>
      <c r="D59" s="3">
        <v>89.36</v>
      </c>
      <c r="E59" s="9">
        <v>1.78</v>
      </c>
      <c r="F59" s="5">
        <v>0.18</v>
      </c>
      <c r="G59" s="6">
        <v>46.27</v>
      </c>
      <c r="H59" s="7">
        <v>31.21</v>
      </c>
      <c r="K59" t="s">
        <v>196</v>
      </c>
      <c r="L59" s="9">
        <v>1.78</v>
      </c>
      <c r="R59" t="s">
        <v>38</v>
      </c>
      <c r="S59">
        <v>3.7608695652173907</v>
      </c>
      <c r="T59">
        <v>6.7420507097609459</v>
      </c>
      <c r="U59">
        <v>3.6260869565217382</v>
      </c>
      <c r="W59" t="s">
        <v>197</v>
      </c>
      <c r="X59" t="s">
        <v>196</v>
      </c>
      <c r="Y59">
        <v>0.13478260869565251</v>
      </c>
      <c r="Z59">
        <v>0.95026126846629499</v>
      </c>
    </row>
    <row r="60" spans="1:26" x14ac:dyDescent="0.25">
      <c r="A60" t="s">
        <v>196</v>
      </c>
      <c r="B60">
        <v>18.560000000000002</v>
      </c>
      <c r="C60" s="2">
        <v>127.16</v>
      </c>
      <c r="D60" s="3">
        <v>90.61</v>
      </c>
      <c r="E60" s="9">
        <v>1.71</v>
      </c>
      <c r="F60" s="5">
        <v>0.57999999999999996</v>
      </c>
      <c r="G60" s="6">
        <v>49.36</v>
      </c>
      <c r="H60" s="7">
        <v>26.72</v>
      </c>
      <c r="K60" t="s">
        <v>196</v>
      </c>
      <c r="L60" s="9">
        <v>1.71</v>
      </c>
      <c r="R60" t="s">
        <v>39</v>
      </c>
      <c r="S60">
        <v>0.26534704923726687</v>
      </c>
      <c r="T60">
        <v>0.30071088236617677</v>
      </c>
      <c r="U60">
        <v>0.36516969856110437</v>
      </c>
      <c r="W60" t="s">
        <v>199</v>
      </c>
      <c r="X60" t="s">
        <v>196</v>
      </c>
      <c r="Y60">
        <v>3.1159637532392077</v>
      </c>
      <c r="Z60">
        <v>4.1825635177517029E-9</v>
      </c>
    </row>
    <row r="61" spans="1:26" x14ac:dyDescent="0.25">
      <c r="A61" t="s">
        <v>196</v>
      </c>
      <c r="B61">
        <v>12.515000000000001</v>
      </c>
      <c r="C61" s="2">
        <v>117.68</v>
      </c>
      <c r="D61" s="3">
        <v>92.07</v>
      </c>
      <c r="E61" s="9">
        <v>2.39</v>
      </c>
      <c r="F61" s="5">
        <v>2.63</v>
      </c>
      <c r="G61" s="6">
        <v>49.71</v>
      </c>
      <c r="H61" s="7">
        <v>31.62</v>
      </c>
      <c r="K61" t="s">
        <v>196</v>
      </c>
      <c r="L61" s="9">
        <v>2.39</v>
      </c>
      <c r="R61" t="s">
        <v>40</v>
      </c>
      <c r="S61">
        <v>3.97</v>
      </c>
      <c r="T61">
        <v>6.3</v>
      </c>
      <c r="U61">
        <v>3.97</v>
      </c>
    </row>
    <row r="62" spans="1:26" x14ac:dyDescent="0.25">
      <c r="A62" t="s">
        <v>196</v>
      </c>
      <c r="B62">
        <v>5.99</v>
      </c>
      <c r="C62" s="2">
        <v>122.34</v>
      </c>
      <c r="D62" s="3">
        <v>101.04</v>
      </c>
      <c r="E62" s="9">
        <v>3.03</v>
      </c>
      <c r="F62" s="5">
        <v>3.98</v>
      </c>
      <c r="G62" s="6">
        <v>47.38</v>
      </c>
      <c r="H62" s="7">
        <v>29.21</v>
      </c>
      <c r="K62" t="s">
        <v>196</v>
      </c>
      <c r="L62" s="9">
        <v>3.03</v>
      </c>
      <c r="R62" t="s">
        <v>41</v>
      </c>
      <c r="S62">
        <v>5.84</v>
      </c>
      <c r="T62">
        <v>11.64</v>
      </c>
      <c r="U62">
        <v>6.73</v>
      </c>
    </row>
    <row r="63" spans="1:26" x14ac:dyDescent="0.25">
      <c r="A63" t="s">
        <v>196</v>
      </c>
      <c r="B63">
        <v>19.364999999999998</v>
      </c>
      <c r="C63" s="2">
        <v>131.01</v>
      </c>
      <c r="D63" s="3">
        <v>88.68</v>
      </c>
      <c r="E63" s="9">
        <v>6.73</v>
      </c>
      <c r="F63" s="5">
        <v>0.19</v>
      </c>
      <c r="G63" s="6">
        <v>47.45</v>
      </c>
      <c r="H63" s="7">
        <v>29.55</v>
      </c>
      <c r="K63" t="s">
        <v>196</v>
      </c>
      <c r="L63" s="9">
        <v>6.73</v>
      </c>
      <c r="R63" t="s">
        <v>42</v>
      </c>
      <c r="S63">
        <v>0.56000000000000005</v>
      </c>
      <c r="T63">
        <v>4.74</v>
      </c>
      <c r="U63">
        <v>1.06</v>
      </c>
    </row>
    <row r="64" spans="1:26" x14ac:dyDescent="0.25">
      <c r="A64" t="s">
        <v>196</v>
      </c>
      <c r="B64">
        <v>11.14</v>
      </c>
      <c r="C64" s="2">
        <v>125.48</v>
      </c>
      <c r="D64" s="3">
        <v>95.04</v>
      </c>
      <c r="E64" s="9">
        <v>1.26</v>
      </c>
      <c r="F64" s="5">
        <v>1.47</v>
      </c>
      <c r="G64" s="6">
        <v>47.64</v>
      </c>
      <c r="H64" s="7">
        <v>29.67</v>
      </c>
      <c r="K64" t="s">
        <v>196</v>
      </c>
      <c r="L64" s="9">
        <v>1.26</v>
      </c>
      <c r="R64" t="s">
        <v>43</v>
      </c>
      <c r="S64">
        <v>1.4199999999999995</v>
      </c>
      <c r="T64">
        <v>1.3167898478115623</v>
      </c>
      <c r="U64">
        <v>2.625</v>
      </c>
    </row>
    <row r="65" spans="1:45" x14ac:dyDescent="0.25">
      <c r="A65" t="s">
        <v>196</v>
      </c>
      <c r="B65">
        <v>15.434999999999999</v>
      </c>
      <c r="C65" s="2">
        <v>129.19</v>
      </c>
      <c r="D65" s="3">
        <v>100.27</v>
      </c>
      <c r="E65" s="9">
        <v>4.2300000000000004</v>
      </c>
      <c r="F65" s="5">
        <v>4.88</v>
      </c>
      <c r="G65" s="6">
        <v>45.82</v>
      </c>
      <c r="H65" s="7">
        <v>28.26</v>
      </c>
      <c r="K65" t="s">
        <v>196</v>
      </c>
      <c r="L65" s="9">
        <v>4.2300000000000004</v>
      </c>
      <c r="R65" t="s">
        <v>53</v>
      </c>
      <c r="S65">
        <v>0.71540186691416552</v>
      </c>
      <c r="T65">
        <v>1.7601578586553535E-3</v>
      </c>
      <c r="U65">
        <v>0.22535792002810473</v>
      </c>
    </row>
    <row r="66" spans="1:45" x14ac:dyDescent="0.25">
      <c r="A66" t="s">
        <v>196</v>
      </c>
      <c r="B66">
        <v>18.685000000000002</v>
      </c>
      <c r="C66" s="2">
        <v>133.79</v>
      </c>
      <c r="D66" s="3">
        <v>102.32</v>
      </c>
      <c r="E66" s="9">
        <v>1.49</v>
      </c>
      <c r="F66" s="5">
        <v>10.44</v>
      </c>
      <c r="G66" s="6">
        <v>46.79</v>
      </c>
      <c r="H66" s="7">
        <v>33.08</v>
      </c>
      <c r="K66" t="s">
        <v>196</v>
      </c>
      <c r="L66" s="9">
        <v>1.49</v>
      </c>
      <c r="R66" t="s">
        <v>46</v>
      </c>
      <c r="S66">
        <v>2.3166675774851281E-10</v>
      </c>
    </row>
    <row r="67" spans="1:45" x14ac:dyDescent="0.25">
      <c r="A67" t="s">
        <v>196</v>
      </c>
      <c r="B67">
        <v>15.19</v>
      </c>
      <c r="C67" s="2">
        <v>127.82</v>
      </c>
      <c r="D67" s="3">
        <v>96.68</v>
      </c>
      <c r="E67" s="9">
        <v>2.46</v>
      </c>
      <c r="F67" s="5">
        <v>2.8</v>
      </c>
      <c r="G67" s="6">
        <v>51.21</v>
      </c>
      <c r="H67" s="7">
        <v>31.96</v>
      </c>
      <c r="K67" t="s">
        <v>196</v>
      </c>
      <c r="L67" s="9">
        <v>2.46</v>
      </c>
    </row>
    <row r="68" spans="1:45" x14ac:dyDescent="0.25">
      <c r="A68" t="s">
        <v>196</v>
      </c>
      <c r="B68">
        <v>18.57</v>
      </c>
      <c r="C68" s="2">
        <v>127.17</v>
      </c>
      <c r="D68" s="3">
        <v>93.8</v>
      </c>
      <c r="E68" s="9">
        <v>1.88</v>
      </c>
      <c r="F68" s="5">
        <v>3.43</v>
      </c>
      <c r="G68" s="6">
        <v>51.33</v>
      </c>
      <c r="H68" s="7">
        <v>34.82</v>
      </c>
      <c r="K68" t="s">
        <v>196</v>
      </c>
      <c r="L68" s="9">
        <v>1.88</v>
      </c>
    </row>
    <row r="69" spans="1:45" x14ac:dyDescent="0.25">
      <c r="A69" t="s">
        <v>196</v>
      </c>
      <c r="B69">
        <v>17.239999999999998</v>
      </c>
      <c r="C69" s="2">
        <v>133.35</v>
      </c>
      <c r="D69" s="3">
        <v>90.92</v>
      </c>
      <c r="E69" s="9">
        <v>5.91</v>
      </c>
      <c r="F69" s="5">
        <v>0.42</v>
      </c>
      <c r="G69" s="6">
        <v>49.75</v>
      </c>
      <c r="H69" s="7">
        <v>32.909999999999997</v>
      </c>
      <c r="K69" t="s">
        <v>196</v>
      </c>
      <c r="L69" s="9">
        <v>5.91</v>
      </c>
    </row>
    <row r="70" spans="1:45" x14ac:dyDescent="0.25">
      <c r="A70" t="s">
        <v>196</v>
      </c>
      <c r="B70">
        <v>10.83</v>
      </c>
      <c r="C70" s="2">
        <v>123.47</v>
      </c>
      <c r="D70" s="3">
        <v>89.25</v>
      </c>
      <c r="E70" s="9">
        <v>4.6500000000000004</v>
      </c>
      <c r="F70" s="5">
        <v>1.08</v>
      </c>
      <c r="G70" s="6">
        <v>45.8</v>
      </c>
      <c r="H70" s="7">
        <v>27.59</v>
      </c>
      <c r="K70" t="s">
        <v>196</v>
      </c>
      <c r="L70" s="9">
        <v>4.6500000000000004</v>
      </c>
    </row>
    <row r="71" spans="1:45" x14ac:dyDescent="0.25">
      <c r="S71">
        <v>0</v>
      </c>
      <c r="T71" t="s">
        <v>203</v>
      </c>
      <c r="U71" t="s">
        <v>38</v>
      </c>
      <c r="V71" t="s">
        <v>39</v>
      </c>
      <c r="W71" t="s">
        <v>40</v>
      </c>
      <c r="X71" t="s">
        <v>41</v>
      </c>
      <c r="Y71" t="s">
        <v>42</v>
      </c>
      <c r="Z71" t="s">
        <v>43</v>
      </c>
      <c r="AA71" t="s">
        <v>53</v>
      </c>
      <c r="AB71" t="s">
        <v>46</v>
      </c>
      <c r="AD71" t="s">
        <v>264</v>
      </c>
      <c r="AF71" t="s">
        <v>58</v>
      </c>
      <c r="AH71" t="s">
        <v>79</v>
      </c>
      <c r="AJ71" t="s">
        <v>27</v>
      </c>
      <c r="AL71" t="s">
        <v>28</v>
      </c>
      <c r="AN71" t="s">
        <v>29</v>
      </c>
      <c r="AP71" t="s">
        <v>30</v>
      </c>
      <c r="AR71" t="s">
        <v>80</v>
      </c>
    </row>
    <row r="72" spans="1:45" x14ac:dyDescent="0.25">
      <c r="R72" t="s">
        <v>101</v>
      </c>
      <c r="S72" t="s">
        <v>197</v>
      </c>
      <c r="T72">
        <v>23</v>
      </c>
      <c r="U72">
        <v>17.618260869565216</v>
      </c>
      <c r="V72">
        <v>0.97131972937315203</v>
      </c>
      <c r="W72">
        <v>17.54</v>
      </c>
      <c r="X72">
        <v>24.545000000000002</v>
      </c>
      <c r="Y72">
        <v>8.875</v>
      </c>
      <c r="Z72">
        <v>7.59</v>
      </c>
      <c r="AA72">
        <v>0.41065718613396518</v>
      </c>
      <c r="AB72">
        <v>3.2826921159880951E-2</v>
      </c>
      <c r="AD72" t="s">
        <v>50</v>
      </c>
      <c r="AE72" t="s">
        <v>51</v>
      </c>
      <c r="AF72" t="s">
        <v>52</v>
      </c>
      <c r="AG72" t="s">
        <v>53</v>
      </c>
      <c r="AH72" t="s">
        <v>52</v>
      </c>
      <c r="AI72" t="s">
        <v>53</v>
      </c>
      <c r="AJ72" t="s">
        <v>52</v>
      </c>
      <c r="AK72" t="s">
        <v>53</v>
      </c>
      <c r="AL72" t="s">
        <v>52</v>
      </c>
      <c r="AM72" t="s">
        <v>53</v>
      </c>
      <c r="AN72" t="s">
        <v>52</v>
      </c>
      <c r="AO72" t="s">
        <v>53</v>
      </c>
      <c r="AP72" t="s">
        <v>52</v>
      </c>
      <c r="AQ72" t="s">
        <v>53</v>
      </c>
      <c r="AR72" t="s">
        <v>52</v>
      </c>
      <c r="AS72" t="s">
        <v>53</v>
      </c>
    </row>
    <row r="73" spans="1:45" x14ac:dyDescent="0.25">
      <c r="S73" t="s">
        <v>199</v>
      </c>
      <c r="T73">
        <v>23</v>
      </c>
      <c r="U73">
        <v>19.069104419140903</v>
      </c>
      <c r="V73">
        <v>0.77839295359271476</v>
      </c>
      <c r="W73">
        <v>18.18</v>
      </c>
      <c r="X73">
        <v>27.573308198025668</v>
      </c>
      <c r="Y73">
        <v>13.705</v>
      </c>
      <c r="Z73">
        <v>4.4574999999999996</v>
      </c>
      <c r="AA73">
        <v>0.20161680880402577</v>
      </c>
      <c r="AD73" t="s">
        <v>197</v>
      </c>
      <c r="AE73" t="s">
        <v>199</v>
      </c>
      <c r="AF73">
        <v>1.4508435495756871</v>
      </c>
      <c r="AG73">
        <v>0.4949121369880497</v>
      </c>
      <c r="AH73">
        <v>0.7983584293375543</v>
      </c>
      <c r="AI73">
        <v>0.86589510884443821</v>
      </c>
      <c r="AJ73">
        <v>13.01513240662112</v>
      </c>
      <c r="AK73">
        <v>1.7097434579227411E-14</v>
      </c>
      <c r="AL73">
        <v>2.9811811445435552</v>
      </c>
      <c r="AM73">
        <v>1.4494664246633704E-8</v>
      </c>
      <c r="AN73">
        <v>2.0931777115228982</v>
      </c>
      <c r="AO73">
        <v>1.8695245723315157E-2</v>
      </c>
      <c r="AP73">
        <v>3.8387486583712374</v>
      </c>
      <c r="AQ73">
        <v>6.2481403280134629E-6</v>
      </c>
      <c r="AR73">
        <v>6.4432336890202215</v>
      </c>
      <c r="AS73">
        <v>2.4299392455962021E-6</v>
      </c>
    </row>
    <row r="74" spans="1:45" x14ac:dyDescent="0.25">
      <c r="S74" t="s">
        <v>196</v>
      </c>
      <c r="T74">
        <v>23</v>
      </c>
      <c r="U74">
        <v>15.658260869565217</v>
      </c>
      <c r="V74">
        <v>0.94478439353450927</v>
      </c>
      <c r="W74">
        <v>16.924999999999997</v>
      </c>
      <c r="X74">
        <v>25.314999999999998</v>
      </c>
      <c r="Y74">
        <v>5.99</v>
      </c>
      <c r="Z74">
        <v>6.3850000000000016</v>
      </c>
      <c r="AA74">
        <v>0.4612635790041012</v>
      </c>
      <c r="AD74" t="s">
        <v>197</v>
      </c>
      <c r="AE74" t="s">
        <v>196</v>
      </c>
      <c r="AF74">
        <v>1.9599999999999991</v>
      </c>
      <c r="AG74">
        <v>0.28083291695010648</v>
      </c>
      <c r="AH74">
        <v>1.562608695652159</v>
      </c>
      <c r="AI74">
        <v>0.57845080147187289</v>
      </c>
      <c r="AJ74">
        <v>9.381304347826088</v>
      </c>
      <c r="AK74">
        <v>3.7527758678379541E-12</v>
      </c>
      <c r="AL74">
        <v>0.13478260869565251</v>
      </c>
      <c r="AM74">
        <v>0.95026126846629499</v>
      </c>
      <c r="AN74">
        <v>1.2465217391304346</v>
      </c>
      <c r="AO74">
        <v>0.22796891727556234</v>
      </c>
      <c r="AP74">
        <v>2.0099999999999909</v>
      </c>
      <c r="AQ74">
        <v>2.2246003446494633E-2</v>
      </c>
      <c r="AR74">
        <v>4.4082608695652183</v>
      </c>
      <c r="AS74">
        <v>1.1660598325526905E-3</v>
      </c>
    </row>
    <row r="75" spans="1:45" x14ac:dyDescent="0.25">
      <c r="R75" t="s">
        <v>79</v>
      </c>
      <c r="S75" t="s">
        <v>197</v>
      </c>
      <c r="T75">
        <v>23</v>
      </c>
      <c r="U75">
        <v>130.03086956521739</v>
      </c>
      <c r="V75">
        <v>1.098564444694812</v>
      </c>
      <c r="W75">
        <v>131.19</v>
      </c>
      <c r="X75">
        <v>136.35</v>
      </c>
      <c r="Y75">
        <v>118.03</v>
      </c>
      <c r="Z75">
        <v>6.914999999999992</v>
      </c>
      <c r="AA75">
        <v>0.14503183666784125</v>
      </c>
      <c r="AB75">
        <v>0.31211228224506404</v>
      </c>
      <c r="AD75" t="s">
        <v>199</v>
      </c>
      <c r="AE75" t="s">
        <v>196</v>
      </c>
      <c r="AF75">
        <v>3.4108435495756861</v>
      </c>
      <c r="AG75">
        <v>2.5295862378763356E-2</v>
      </c>
      <c r="AH75">
        <v>2.3609671249897133</v>
      </c>
      <c r="AI75">
        <v>0.29126833088937276</v>
      </c>
      <c r="AJ75">
        <v>22.396436754447208</v>
      </c>
      <c r="AK75">
        <v>1.7097434579227411E-14</v>
      </c>
      <c r="AL75">
        <v>3.1159637532392077</v>
      </c>
      <c r="AM75">
        <v>4.1825635177517029E-9</v>
      </c>
      <c r="AN75">
        <v>0.8466559723924636</v>
      </c>
      <c r="AO75">
        <v>0.50041665933489843</v>
      </c>
      <c r="AP75">
        <v>1.8287486583712464</v>
      </c>
      <c r="AQ75">
        <v>4.1317523949287338E-2</v>
      </c>
      <c r="AR75">
        <v>2.0349728194550032</v>
      </c>
      <c r="AS75">
        <v>0.20536098390408475</v>
      </c>
    </row>
    <row r="76" spans="1:45" x14ac:dyDescent="0.25">
      <c r="S76" t="s">
        <v>199</v>
      </c>
      <c r="T76">
        <v>23</v>
      </c>
      <c r="U76">
        <v>130.82922799455494</v>
      </c>
      <c r="V76">
        <v>0.97222544865787508</v>
      </c>
      <c r="W76">
        <v>131.43</v>
      </c>
      <c r="X76">
        <v>138.15383332762181</v>
      </c>
      <c r="Y76">
        <v>121.28</v>
      </c>
      <c r="Z76">
        <v>5.3599999999999852</v>
      </c>
      <c r="AA76">
        <v>0.77359954018920352</v>
      </c>
    </row>
    <row r="77" spans="1:45" x14ac:dyDescent="0.25">
      <c r="S77" t="s">
        <v>196</v>
      </c>
      <c r="T77">
        <v>23</v>
      </c>
      <c r="U77">
        <v>128.46826086956523</v>
      </c>
      <c r="V77">
        <v>1.2241568288298348</v>
      </c>
      <c r="W77">
        <v>128.88999999999999</v>
      </c>
      <c r="X77">
        <v>140.83000000000001</v>
      </c>
      <c r="Y77">
        <v>117.68</v>
      </c>
      <c r="Z77">
        <v>6.6600000000000108</v>
      </c>
      <c r="AA77">
        <v>0.99986828772178671</v>
      </c>
      <c r="AL77" t="s">
        <v>52</v>
      </c>
      <c r="AM77" t="s">
        <v>53</v>
      </c>
    </row>
    <row r="78" spans="1:45" x14ac:dyDescent="0.25">
      <c r="R78" t="s">
        <v>27</v>
      </c>
      <c r="S78" t="s">
        <v>197</v>
      </c>
      <c r="T78">
        <v>23</v>
      </c>
      <c r="U78">
        <v>85.275217391304338</v>
      </c>
      <c r="V78">
        <v>0.35643428986308912</v>
      </c>
      <c r="W78">
        <v>84.66</v>
      </c>
      <c r="X78">
        <v>89.2</v>
      </c>
      <c r="Y78">
        <v>83.02</v>
      </c>
      <c r="Z78">
        <v>2.4449999999999932</v>
      </c>
      <c r="AA78">
        <v>0.11523616963190775</v>
      </c>
      <c r="AB78">
        <v>6.6502930578789024E-30</v>
      </c>
      <c r="AL78">
        <v>2.9811811445435552</v>
      </c>
      <c r="AM78">
        <v>1.4494664246633704E-8</v>
      </c>
    </row>
    <row r="79" spans="1:45" x14ac:dyDescent="0.25">
      <c r="S79" t="s">
        <v>199</v>
      </c>
      <c r="T79">
        <v>23</v>
      </c>
      <c r="U79">
        <v>72.260084984683218</v>
      </c>
      <c r="V79">
        <v>0.37002458469326921</v>
      </c>
      <c r="W79">
        <v>72.430000000000007</v>
      </c>
      <c r="X79">
        <v>75.34</v>
      </c>
      <c r="Y79">
        <v>67.86</v>
      </c>
      <c r="Z79">
        <v>1.9900000000000091</v>
      </c>
      <c r="AA79">
        <v>0.85241930917929432</v>
      </c>
      <c r="AL79">
        <v>0.13478260869565251</v>
      </c>
      <c r="AM79">
        <v>0.95026126846629499</v>
      </c>
    </row>
    <row r="80" spans="1:45" x14ac:dyDescent="0.25">
      <c r="S80" t="s">
        <v>196</v>
      </c>
      <c r="T80">
        <v>23</v>
      </c>
      <c r="U80">
        <v>94.656521739130426</v>
      </c>
      <c r="V80">
        <v>1.20958713249811</v>
      </c>
      <c r="W80">
        <v>93.49</v>
      </c>
      <c r="X80">
        <v>108.46</v>
      </c>
      <c r="Y80">
        <v>87.83</v>
      </c>
      <c r="Z80">
        <v>8.9399999999999977</v>
      </c>
      <c r="AA80">
        <v>3.1514199798783116E-2</v>
      </c>
      <c r="AL80">
        <v>3.1159637532392077</v>
      </c>
      <c r="AM80">
        <v>4.1825635177517029E-9</v>
      </c>
    </row>
    <row r="81" spans="18:38" x14ac:dyDescent="0.25">
      <c r="R81" t="s">
        <v>28</v>
      </c>
      <c r="S81" t="s">
        <v>197</v>
      </c>
      <c r="T81">
        <v>23</v>
      </c>
      <c r="U81">
        <v>3.7608695652173907</v>
      </c>
      <c r="V81">
        <v>0.26534704923726687</v>
      </c>
      <c r="W81">
        <v>3.97</v>
      </c>
      <c r="X81">
        <v>5.84</v>
      </c>
      <c r="Y81">
        <v>0.56000000000000005</v>
      </c>
      <c r="Z81">
        <v>1.4199999999999995</v>
      </c>
      <c r="AA81">
        <v>0.71540186691416552</v>
      </c>
      <c r="AB81">
        <v>2.3166675774851281E-10</v>
      </c>
    </row>
    <row r="82" spans="18:38" x14ac:dyDescent="0.25">
      <c r="S82" t="s">
        <v>199</v>
      </c>
      <c r="T82">
        <v>23</v>
      </c>
      <c r="U82">
        <v>6.7420507097609459</v>
      </c>
      <c r="V82">
        <v>0.30071088236617677</v>
      </c>
      <c r="W82">
        <v>6.3</v>
      </c>
      <c r="X82">
        <v>11.64</v>
      </c>
      <c r="Y82">
        <v>4.74</v>
      </c>
      <c r="Z82">
        <v>1.3167898478115623</v>
      </c>
      <c r="AA82">
        <v>1.7601578586553535E-3</v>
      </c>
    </row>
    <row r="83" spans="18:38" x14ac:dyDescent="0.25">
      <c r="S83" t="s">
        <v>196</v>
      </c>
      <c r="T83">
        <v>23</v>
      </c>
      <c r="U83">
        <v>3.6260869565217382</v>
      </c>
      <c r="V83">
        <v>0.36516969856110437</v>
      </c>
      <c r="W83">
        <v>3.97</v>
      </c>
      <c r="X83">
        <v>6.73</v>
      </c>
      <c r="Y83">
        <v>1.06</v>
      </c>
      <c r="Z83">
        <v>2.625</v>
      </c>
      <c r="AA83">
        <v>0.22535792002810473</v>
      </c>
    </row>
    <row r="84" spans="18:38" x14ac:dyDescent="0.25">
      <c r="R84" t="s">
        <v>29</v>
      </c>
      <c r="S84" t="s">
        <v>197</v>
      </c>
      <c r="T84">
        <v>23</v>
      </c>
      <c r="U84">
        <v>1.2895652173913041</v>
      </c>
      <c r="V84">
        <v>0.68648830794198912</v>
      </c>
      <c r="W84">
        <v>1.78</v>
      </c>
      <c r="X84">
        <v>5.51</v>
      </c>
      <c r="Y84">
        <v>-9.98</v>
      </c>
      <c r="Z84">
        <v>3.4949999999999997</v>
      </c>
      <c r="AA84">
        <v>1.5550477031395227E-3</v>
      </c>
      <c r="AB84">
        <v>2.4276313681537941E-2</v>
      </c>
    </row>
    <row r="85" spans="18:38" x14ac:dyDescent="0.25">
      <c r="S85" t="s">
        <v>199</v>
      </c>
      <c r="T85">
        <v>23</v>
      </c>
      <c r="U85">
        <v>3.3827429289142024</v>
      </c>
      <c r="V85">
        <v>0.40972568478739341</v>
      </c>
      <c r="W85">
        <v>2.99</v>
      </c>
      <c r="X85">
        <v>7.81</v>
      </c>
      <c r="Y85">
        <v>0.57999999999999996</v>
      </c>
      <c r="Z85">
        <v>1.8750000000000009</v>
      </c>
      <c r="AA85">
        <v>0.1148581533235582</v>
      </c>
    </row>
    <row r="86" spans="18:38" x14ac:dyDescent="0.25">
      <c r="S86" t="s">
        <v>196</v>
      </c>
      <c r="T86">
        <v>23</v>
      </c>
      <c r="U86">
        <v>2.5360869565217388</v>
      </c>
      <c r="V86">
        <v>0.45378545675574256</v>
      </c>
      <c r="W86">
        <v>2.58</v>
      </c>
      <c r="X86">
        <v>10.44</v>
      </c>
      <c r="Y86">
        <v>0.18</v>
      </c>
      <c r="Z86">
        <v>2.0999999999999996</v>
      </c>
      <c r="AA86">
        <v>4.0129690552825892E-4</v>
      </c>
    </row>
    <row r="87" spans="18:38" x14ac:dyDescent="0.25">
      <c r="R87" t="s">
        <v>30</v>
      </c>
      <c r="S87" t="s">
        <v>197</v>
      </c>
      <c r="T87">
        <v>23</v>
      </c>
      <c r="U87">
        <v>45.576521739130442</v>
      </c>
      <c r="V87">
        <v>0.38909066416324223</v>
      </c>
      <c r="W87">
        <v>45.33</v>
      </c>
      <c r="X87">
        <v>48.82</v>
      </c>
      <c r="Y87">
        <v>43.1</v>
      </c>
      <c r="Z87">
        <v>3.1850000000000023</v>
      </c>
      <c r="AA87">
        <v>7.3128440718476573E-2</v>
      </c>
      <c r="AB87">
        <v>1.1905999679404925E-5</v>
      </c>
    </row>
    <row r="88" spans="18:38" x14ac:dyDescent="0.25">
      <c r="S88" t="s">
        <v>199</v>
      </c>
      <c r="T88">
        <v>23</v>
      </c>
      <c r="U88">
        <v>49.415270397501679</v>
      </c>
      <c r="V88">
        <v>0.66592198110007084</v>
      </c>
      <c r="W88">
        <v>48.55</v>
      </c>
      <c r="X88">
        <v>59.27</v>
      </c>
      <c r="Y88">
        <v>45.03</v>
      </c>
      <c r="Z88">
        <v>3.5866983985985001</v>
      </c>
      <c r="AA88">
        <v>1.6867730336401765E-2</v>
      </c>
    </row>
    <row r="89" spans="18:38" x14ac:dyDescent="0.25">
      <c r="S89" t="s">
        <v>196</v>
      </c>
      <c r="T89">
        <v>23</v>
      </c>
      <c r="U89">
        <v>47.586521739130433</v>
      </c>
      <c r="V89">
        <v>0.47181954106029228</v>
      </c>
      <c r="W89">
        <v>47.45</v>
      </c>
      <c r="X89">
        <v>51.33</v>
      </c>
      <c r="Y89">
        <v>43.33</v>
      </c>
      <c r="Z89">
        <v>3.4649999999999963</v>
      </c>
      <c r="AA89">
        <v>0.47991706991433269</v>
      </c>
    </row>
    <row r="90" spans="18:38" x14ac:dyDescent="0.25">
      <c r="R90" t="s">
        <v>80</v>
      </c>
      <c r="S90" t="s">
        <v>197</v>
      </c>
      <c r="T90">
        <v>23</v>
      </c>
      <c r="U90">
        <v>26.111304347826088</v>
      </c>
      <c r="V90">
        <v>0.5468560173343554</v>
      </c>
      <c r="W90">
        <v>25.11</v>
      </c>
      <c r="X90">
        <v>33.04</v>
      </c>
      <c r="Y90">
        <v>23.14</v>
      </c>
      <c r="Z90">
        <v>2.2250000000000014</v>
      </c>
      <c r="AA90">
        <v>4.7480438836011718E-4</v>
      </c>
      <c r="AB90">
        <v>3.0276035881033468E-6</v>
      </c>
    </row>
    <row r="91" spans="18:38" x14ac:dyDescent="0.25">
      <c r="S91" t="s">
        <v>199</v>
      </c>
      <c r="T91">
        <v>23</v>
      </c>
      <c r="U91">
        <v>32.55453803684631</v>
      </c>
      <c r="V91">
        <v>1.2142607651629338</v>
      </c>
      <c r="W91">
        <v>31.39</v>
      </c>
      <c r="X91">
        <v>47.1</v>
      </c>
      <c r="Y91">
        <v>25.15</v>
      </c>
      <c r="Z91">
        <v>6.3996477743663007</v>
      </c>
      <c r="AA91">
        <v>2.8573080155392949E-2</v>
      </c>
    </row>
    <row r="92" spans="18:38" x14ac:dyDescent="0.25">
      <c r="S92" t="s">
        <v>196</v>
      </c>
      <c r="T92">
        <v>23</v>
      </c>
      <c r="U92">
        <v>30.519565217391307</v>
      </c>
      <c r="V92">
        <v>0.57095803209291207</v>
      </c>
      <c r="W92">
        <v>29.67</v>
      </c>
      <c r="X92">
        <v>36.979999999999997</v>
      </c>
      <c r="Y92">
        <v>26.72</v>
      </c>
      <c r="Z92">
        <v>3.8400000000000034</v>
      </c>
      <c r="AA92">
        <v>0.21237362583402986</v>
      </c>
    </row>
    <row r="95" spans="18:38" x14ac:dyDescent="0.25">
      <c r="S95" s="87"/>
      <c r="T95" s="87"/>
      <c r="U95" s="83" t="s">
        <v>37</v>
      </c>
      <c r="V95" s="83" t="s">
        <v>38</v>
      </c>
      <c r="W95" s="83" t="s">
        <v>39</v>
      </c>
      <c r="X95" s="83" t="s">
        <v>40</v>
      </c>
      <c r="Y95" s="83" t="s">
        <v>41</v>
      </c>
      <c r="Z95" s="83" t="s">
        <v>42</v>
      </c>
      <c r="AA95" s="83" t="s">
        <v>43</v>
      </c>
      <c r="AB95" s="83" t="s">
        <v>44</v>
      </c>
      <c r="AC95" s="83" t="s">
        <v>45</v>
      </c>
      <c r="AD95" s="84" t="s">
        <v>46</v>
      </c>
      <c r="AE95" s="85" t="s">
        <v>47</v>
      </c>
      <c r="AG95" s="10"/>
      <c r="AH95" s="11" t="s">
        <v>50</v>
      </c>
      <c r="AI95" s="11" t="s">
        <v>51</v>
      </c>
      <c r="AJ95" s="11" t="s">
        <v>52</v>
      </c>
      <c r="AK95" s="11" t="s">
        <v>53</v>
      </c>
      <c r="AL95" s="12" t="s">
        <v>54</v>
      </c>
    </row>
    <row r="96" spans="18:38" x14ac:dyDescent="0.25">
      <c r="S96" s="87"/>
      <c r="T96" s="87"/>
      <c r="U96" s="83"/>
      <c r="V96" s="83"/>
      <c r="W96" s="83"/>
      <c r="X96" s="83"/>
      <c r="Y96" s="83"/>
      <c r="Z96" s="83"/>
      <c r="AA96" s="83"/>
      <c r="AB96" s="83"/>
      <c r="AC96" s="83"/>
      <c r="AD96" s="84"/>
      <c r="AE96" s="86"/>
      <c r="AG96" s="13" t="s">
        <v>58</v>
      </c>
      <c r="AH96" s="14" t="s">
        <v>197</v>
      </c>
      <c r="AI96" s="14" t="s">
        <v>199</v>
      </c>
      <c r="AJ96" s="15">
        <v>1.4508435495756871</v>
      </c>
      <c r="AK96" s="16">
        <v>0.4949121369880497</v>
      </c>
      <c r="AL96" s="20" t="s">
        <v>62</v>
      </c>
    </row>
    <row r="97" spans="19:38" x14ac:dyDescent="0.25">
      <c r="S97" s="13" t="s">
        <v>58</v>
      </c>
      <c r="T97" s="14" t="s">
        <v>197</v>
      </c>
      <c r="U97" s="14">
        <v>23</v>
      </c>
      <c r="V97" s="15">
        <v>17.618260869565216</v>
      </c>
      <c r="W97" s="15">
        <v>0.97131972937315203</v>
      </c>
      <c r="X97" s="15">
        <v>17.54</v>
      </c>
      <c r="Y97" s="15">
        <v>24.545000000000002</v>
      </c>
      <c r="Z97" s="15">
        <v>8.875</v>
      </c>
      <c r="AA97" s="15">
        <v>7.59</v>
      </c>
      <c r="AB97" s="16">
        <v>0.41065718613396518</v>
      </c>
      <c r="AC97" s="17">
        <v>0.23310909719588269</v>
      </c>
      <c r="AD97" s="18">
        <v>3.2826921159880951E-2</v>
      </c>
      <c r="AE97" s="19" t="s">
        <v>60</v>
      </c>
      <c r="AG97" s="21"/>
      <c r="AH97" s="14" t="s">
        <v>197</v>
      </c>
      <c r="AI97" s="14" t="s">
        <v>196</v>
      </c>
      <c r="AJ97" s="15">
        <v>1.9599999999999991</v>
      </c>
      <c r="AK97" s="16">
        <v>0.28083291695010648</v>
      </c>
      <c r="AL97" s="19"/>
    </row>
    <row r="98" spans="19:38" x14ac:dyDescent="0.25">
      <c r="S98" s="21"/>
      <c r="T98" s="14" t="s">
        <v>199</v>
      </c>
      <c r="U98" s="14">
        <v>23</v>
      </c>
      <c r="V98" s="15">
        <v>19.069104419140903</v>
      </c>
      <c r="W98" s="15">
        <v>0.77839295359271476</v>
      </c>
      <c r="X98" s="15">
        <v>18.18</v>
      </c>
      <c r="Y98" s="15">
        <v>27.573308198025668</v>
      </c>
      <c r="Z98" s="15">
        <v>13.705</v>
      </c>
      <c r="AA98" s="15">
        <v>4.4574999999999996</v>
      </c>
      <c r="AB98" s="16">
        <v>0.20161680880402577</v>
      </c>
      <c r="AC98" s="22"/>
      <c r="AD98" s="23"/>
      <c r="AE98" s="19"/>
      <c r="AG98" s="27"/>
      <c r="AH98" s="14" t="s">
        <v>199</v>
      </c>
      <c r="AI98" s="14" t="s">
        <v>196</v>
      </c>
      <c r="AJ98" s="15">
        <v>3.4108435495756861</v>
      </c>
      <c r="AK98" s="28">
        <v>2.5295862378763356E-2</v>
      </c>
      <c r="AL98" s="29"/>
    </row>
    <row r="99" spans="19:38" x14ac:dyDescent="0.25">
      <c r="S99" s="21"/>
      <c r="T99" s="25" t="s">
        <v>196</v>
      </c>
      <c r="U99" s="25">
        <v>23</v>
      </c>
      <c r="V99" s="26">
        <v>15.658260869565217</v>
      </c>
      <c r="W99" s="26">
        <v>0.94478439353450927</v>
      </c>
      <c r="X99" s="26">
        <v>16.924999999999997</v>
      </c>
      <c r="Y99" s="26">
        <v>25.314999999999998</v>
      </c>
      <c r="Z99" s="26">
        <v>5.99</v>
      </c>
      <c r="AA99" s="26">
        <v>6.3850000000000016</v>
      </c>
      <c r="AB99" s="17">
        <v>0.4612635790041012</v>
      </c>
      <c r="AC99" s="22"/>
      <c r="AD99" s="23"/>
      <c r="AE99" s="19"/>
      <c r="AG99" s="21" t="s">
        <v>31</v>
      </c>
      <c r="AH99" s="31" t="s">
        <v>197</v>
      </c>
      <c r="AI99" s="31" t="s">
        <v>199</v>
      </c>
      <c r="AJ99" s="32">
        <v>0.7983584293375543</v>
      </c>
      <c r="AK99" s="33">
        <v>0.86589510884443821</v>
      </c>
      <c r="AL99" s="19" t="s">
        <v>62</v>
      </c>
    </row>
    <row r="100" spans="19:38" x14ac:dyDescent="0.25">
      <c r="S100" s="13" t="s">
        <v>31</v>
      </c>
      <c r="T100" s="14" t="s">
        <v>197</v>
      </c>
      <c r="U100" s="14">
        <v>23</v>
      </c>
      <c r="V100" s="15">
        <v>130.03086956521739</v>
      </c>
      <c r="W100" s="15">
        <v>1.098564444694812</v>
      </c>
      <c r="X100" s="15">
        <v>131.19</v>
      </c>
      <c r="Y100" s="15">
        <v>136.35</v>
      </c>
      <c r="Z100" s="15">
        <v>118.03</v>
      </c>
      <c r="AA100" s="15">
        <v>6.914999999999992</v>
      </c>
      <c r="AB100" s="73">
        <v>0.14503183666784125</v>
      </c>
      <c r="AC100" s="17">
        <v>0.67517551577660506</v>
      </c>
      <c r="AD100" s="30">
        <v>0.31211228224506404</v>
      </c>
      <c r="AE100" s="20" t="s">
        <v>60</v>
      </c>
      <c r="AG100" s="21"/>
      <c r="AH100" s="14" t="s">
        <v>197</v>
      </c>
      <c r="AI100" s="14" t="s">
        <v>196</v>
      </c>
      <c r="AJ100" s="15">
        <v>1.562608695652159</v>
      </c>
      <c r="AK100" s="16">
        <v>0.57845080147187289</v>
      </c>
      <c r="AL100" s="19"/>
    </row>
    <row r="101" spans="19:38" x14ac:dyDescent="0.25">
      <c r="S101" s="21"/>
      <c r="T101" s="14" t="s">
        <v>199</v>
      </c>
      <c r="U101" s="14">
        <v>23</v>
      </c>
      <c r="V101" s="15">
        <v>130.82922799455494</v>
      </c>
      <c r="W101" s="15">
        <v>0.97222544865787508</v>
      </c>
      <c r="X101" s="15">
        <v>131.43</v>
      </c>
      <c r="Y101" s="15">
        <v>138.15383332762181</v>
      </c>
      <c r="Z101" s="15">
        <v>121.28</v>
      </c>
      <c r="AA101" s="15">
        <v>5.3599999999999852</v>
      </c>
      <c r="AB101" s="16">
        <v>0.77359954018920352</v>
      </c>
      <c r="AC101" s="22"/>
      <c r="AD101" s="23"/>
      <c r="AE101" s="19"/>
      <c r="AG101" s="21"/>
      <c r="AH101" s="25" t="s">
        <v>199</v>
      </c>
      <c r="AI101" s="25" t="s">
        <v>196</v>
      </c>
      <c r="AJ101" s="26">
        <v>2.3609671249897133</v>
      </c>
      <c r="AK101" s="17">
        <v>0.29126833088937276</v>
      </c>
      <c r="AL101" s="19"/>
    </row>
    <row r="102" spans="19:38" x14ac:dyDescent="0.25">
      <c r="S102" s="27"/>
      <c r="T102" s="14" t="s">
        <v>196</v>
      </c>
      <c r="U102" s="14">
        <v>23</v>
      </c>
      <c r="V102" s="15">
        <v>128.46826086956523</v>
      </c>
      <c r="W102" s="15">
        <v>1.2241568288298348</v>
      </c>
      <c r="X102" s="15">
        <v>128.88999999999999</v>
      </c>
      <c r="Y102" s="15">
        <v>140.83000000000001</v>
      </c>
      <c r="Z102" s="15">
        <v>117.68</v>
      </c>
      <c r="AA102" s="15">
        <v>6.6600000000000108</v>
      </c>
      <c r="AB102" s="16">
        <v>0.99986828772178671</v>
      </c>
      <c r="AC102" s="33"/>
      <c r="AD102" s="34"/>
      <c r="AE102" s="29"/>
      <c r="AG102" s="13" t="s">
        <v>27</v>
      </c>
      <c r="AH102" s="14" t="s">
        <v>197</v>
      </c>
      <c r="AI102" s="14" t="s">
        <v>199</v>
      </c>
      <c r="AJ102" s="15">
        <v>13.01513240662112</v>
      </c>
      <c r="AK102" s="28">
        <v>1.7097434579227411E-14</v>
      </c>
      <c r="AL102" s="20" t="s">
        <v>62</v>
      </c>
    </row>
    <row r="103" spans="19:38" x14ac:dyDescent="0.25">
      <c r="S103" s="21" t="s">
        <v>27</v>
      </c>
      <c r="T103" s="31" t="s">
        <v>197</v>
      </c>
      <c r="U103" s="31">
        <v>23</v>
      </c>
      <c r="V103" s="32">
        <v>85.275217391304338</v>
      </c>
      <c r="W103" s="32">
        <v>0.35643428986308912</v>
      </c>
      <c r="X103" s="32">
        <v>84.66</v>
      </c>
      <c r="Y103" s="32">
        <v>89.2</v>
      </c>
      <c r="Z103" s="32">
        <v>83.02</v>
      </c>
      <c r="AA103" s="32">
        <v>2.4449999999999932</v>
      </c>
      <c r="AB103" s="33">
        <v>0.11523616963190775</v>
      </c>
      <c r="AC103" s="35">
        <v>9.361824300224697E-7</v>
      </c>
      <c r="AD103" s="36">
        <v>6.6502930578789024E-30</v>
      </c>
      <c r="AE103" s="19" t="s">
        <v>70</v>
      </c>
      <c r="AG103" s="21"/>
      <c r="AH103" s="14" t="s">
        <v>197</v>
      </c>
      <c r="AI103" s="14" t="s">
        <v>196</v>
      </c>
      <c r="AJ103" s="15">
        <v>9.381304347826088</v>
      </c>
      <c r="AK103" s="28">
        <v>3.7527758678379541E-12</v>
      </c>
      <c r="AL103" s="19"/>
    </row>
    <row r="104" spans="19:38" x14ac:dyDescent="0.25">
      <c r="S104" s="21"/>
      <c r="T104" s="14" t="s">
        <v>199</v>
      </c>
      <c r="U104" s="14">
        <v>23</v>
      </c>
      <c r="V104" s="15">
        <v>72.260084984683218</v>
      </c>
      <c r="W104" s="15">
        <v>0.37002458469326921</v>
      </c>
      <c r="X104" s="15">
        <v>72.430000000000007</v>
      </c>
      <c r="Y104" s="15">
        <v>75.34</v>
      </c>
      <c r="Z104" s="15">
        <v>67.86</v>
      </c>
      <c r="AA104" s="15">
        <v>1.9900000000000091</v>
      </c>
      <c r="AB104" s="16">
        <v>0.85241930917929432</v>
      </c>
      <c r="AC104" s="22"/>
      <c r="AD104" s="23"/>
      <c r="AE104" s="19"/>
      <c r="AG104" s="27"/>
      <c r="AH104" s="14" t="s">
        <v>199</v>
      </c>
      <c r="AI104" s="14" t="s">
        <v>196</v>
      </c>
      <c r="AJ104" s="15">
        <v>22.396436754447208</v>
      </c>
      <c r="AK104" s="28">
        <v>1.7097434579227411E-14</v>
      </c>
      <c r="AL104" s="29"/>
    </row>
    <row r="105" spans="19:38" x14ac:dyDescent="0.25">
      <c r="S105" s="21"/>
      <c r="T105" s="25" t="s">
        <v>196</v>
      </c>
      <c r="U105" s="25">
        <v>23</v>
      </c>
      <c r="V105" s="26">
        <v>94.656521739130426</v>
      </c>
      <c r="W105" s="26">
        <v>1.20958713249811</v>
      </c>
      <c r="X105" s="26">
        <v>93.49</v>
      </c>
      <c r="Y105" s="26">
        <v>108.46</v>
      </c>
      <c r="Z105" s="26">
        <v>87.83</v>
      </c>
      <c r="AA105" s="26">
        <v>8.9399999999999977</v>
      </c>
      <c r="AB105" s="17">
        <v>3.1514199798783116E-2</v>
      </c>
      <c r="AC105" s="22"/>
      <c r="AD105" s="23"/>
      <c r="AE105" s="19"/>
      <c r="AG105" s="21" t="s">
        <v>28</v>
      </c>
      <c r="AH105" s="31" t="s">
        <v>197</v>
      </c>
      <c r="AI105" s="31" t="s">
        <v>199</v>
      </c>
      <c r="AJ105" s="32">
        <v>2.9811811445435552</v>
      </c>
      <c r="AK105" s="38">
        <v>1.4494664246633704E-8</v>
      </c>
      <c r="AL105" s="19" t="s">
        <v>62</v>
      </c>
    </row>
    <row r="106" spans="19:38" x14ac:dyDescent="0.25">
      <c r="S106" s="13" t="s">
        <v>28</v>
      </c>
      <c r="T106" s="14" t="s">
        <v>197</v>
      </c>
      <c r="U106" s="14">
        <v>23</v>
      </c>
      <c r="V106" s="15">
        <v>3.7608695652173907</v>
      </c>
      <c r="W106" s="15">
        <v>0.26534704923726687</v>
      </c>
      <c r="X106" s="15">
        <v>3.97</v>
      </c>
      <c r="Y106" s="15">
        <v>5.84</v>
      </c>
      <c r="Z106" s="15">
        <v>0.56000000000000005</v>
      </c>
      <c r="AA106" s="15">
        <v>1.4199999999999995</v>
      </c>
      <c r="AB106" s="16">
        <v>0.71540186691416552</v>
      </c>
      <c r="AC106" s="37">
        <v>2.1033870255771081E-3</v>
      </c>
      <c r="AD106" s="18">
        <v>2.3166675774851281E-10</v>
      </c>
      <c r="AE106" s="20" t="s">
        <v>70</v>
      </c>
      <c r="AG106" s="21"/>
      <c r="AH106" s="14" t="s">
        <v>197</v>
      </c>
      <c r="AI106" s="14" t="s">
        <v>196</v>
      </c>
      <c r="AJ106" s="15">
        <v>0.13478260869565251</v>
      </c>
      <c r="AK106" s="16">
        <v>0.95026126846629499</v>
      </c>
      <c r="AL106" s="19"/>
    </row>
    <row r="107" spans="19:38" x14ac:dyDescent="0.25">
      <c r="S107" s="21"/>
      <c r="T107" s="14" t="s">
        <v>199</v>
      </c>
      <c r="U107" s="14">
        <v>23</v>
      </c>
      <c r="V107" s="15">
        <v>6.7420507097609459</v>
      </c>
      <c r="W107" s="15">
        <v>0.30071088236617677</v>
      </c>
      <c r="X107" s="15">
        <v>6.3</v>
      </c>
      <c r="Y107" s="15">
        <v>11.64</v>
      </c>
      <c r="Z107" s="15">
        <v>4.74</v>
      </c>
      <c r="AA107" s="15">
        <v>1.3167898478115623</v>
      </c>
      <c r="AB107" s="16">
        <v>1.7601578586553535E-3</v>
      </c>
      <c r="AC107" s="22"/>
      <c r="AD107" s="23"/>
      <c r="AE107" s="19"/>
      <c r="AG107" s="21"/>
      <c r="AH107" s="25" t="s">
        <v>199</v>
      </c>
      <c r="AI107" s="25" t="s">
        <v>196</v>
      </c>
      <c r="AJ107" s="26">
        <v>3.1159637532392077</v>
      </c>
      <c r="AK107" s="37">
        <v>4.1825635177517029E-9</v>
      </c>
      <c r="AL107" s="19"/>
    </row>
    <row r="108" spans="19:38" x14ac:dyDescent="0.25">
      <c r="S108" s="27"/>
      <c r="T108" s="14" t="s">
        <v>196</v>
      </c>
      <c r="U108" s="14">
        <v>23</v>
      </c>
      <c r="V108" s="15">
        <v>3.6260869565217382</v>
      </c>
      <c r="W108" s="15">
        <v>0.36516969856110437</v>
      </c>
      <c r="X108" s="15">
        <v>3.97</v>
      </c>
      <c r="Y108" s="15">
        <v>6.73</v>
      </c>
      <c r="Z108" s="15">
        <v>1.06</v>
      </c>
      <c r="AA108" s="15">
        <v>2.625</v>
      </c>
      <c r="AB108" s="16">
        <v>0.22535792002810473</v>
      </c>
      <c r="AC108" s="33"/>
      <c r="AD108" s="34"/>
      <c r="AE108" s="29"/>
      <c r="AG108" s="13" t="s">
        <v>29</v>
      </c>
      <c r="AH108" s="14" t="s">
        <v>197</v>
      </c>
      <c r="AI108" s="14" t="s">
        <v>199</v>
      </c>
      <c r="AJ108" s="15">
        <v>2.9811811445435552</v>
      </c>
      <c r="AK108" s="28">
        <v>1.4494664246633704E-8</v>
      </c>
      <c r="AL108" s="20" t="s">
        <v>62</v>
      </c>
    </row>
    <row r="109" spans="19:38" x14ac:dyDescent="0.25">
      <c r="S109" s="13" t="s">
        <v>29</v>
      </c>
      <c r="T109" s="14" t="s">
        <v>197</v>
      </c>
      <c r="U109" s="14">
        <v>23</v>
      </c>
      <c r="V109" s="15">
        <v>1.2895652173913041</v>
      </c>
      <c r="W109" s="15">
        <v>0.68648830794198912</v>
      </c>
      <c r="X109" s="15">
        <v>1.78</v>
      </c>
      <c r="Y109" s="15">
        <v>5.51</v>
      </c>
      <c r="Z109" s="15">
        <v>-9.98</v>
      </c>
      <c r="AA109" s="15">
        <v>3.4949999999999997</v>
      </c>
      <c r="AB109" s="28">
        <v>1.5550477031395227E-3</v>
      </c>
      <c r="AC109" s="17">
        <v>0.34902029326005612</v>
      </c>
      <c r="AD109" s="18">
        <v>2.4276313681537941E-2</v>
      </c>
      <c r="AE109" s="20" t="s">
        <v>60</v>
      </c>
      <c r="AG109" s="21"/>
      <c r="AH109" s="14" t="s">
        <v>197</v>
      </c>
      <c r="AI109" s="14" t="s">
        <v>196</v>
      </c>
      <c r="AJ109" s="15">
        <v>0.13478260869565251</v>
      </c>
      <c r="AK109" s="16">
        <v>0.95026126846629499</v>
      </c>
      <c r="AL109" s="19"/>
    </row>
    <row r="110" spans="19:38" x14ac:dyDescent="0.25">
      <c r="S110" s="21"/>
      <c r="T110" s="14" t="s">
        <v>199</v>
      </c>
      <c r="U110" s="14">
        <v>23</v>
      </c>
      <c r="V110" s="15">
        <v>3.3827429289142024</v>
      </c>
      <c r="W110" s="15">
        <v>0.40972568478739341</v>
      </c>
      <c r="X110" s="15">
        <v>2.99</v>
      </c>
      <c r="Y110" s="15">
        <v>7.81</v>
      </c>
      <c r="Z110" s="15">
        <v>0.57999999999999996</v>
      </c>
      <c r="AA110" s="15">
        <v>1.8750000000000009</v>
      </c>
      <c r="AB110" s="16">
        <v>0.1148581533235582</v>
      </c>
      <c r="AC110" s="22"/>
      <c r="AD110" s="23"/>
      <c r="AE110" s="19"/>
      <c r="AG110" s="27"/>
      <c r="AH110" s="14" t="s">
        <v>199</v>
      </c>
      <c r="AI110" s="14" t="s">
        <v>196</v>
      </c>
      <c r="AJ110" s="15">
        <v>3.1159637532392077</v>
      </c>
      <c r="AK110" s="28">
        <v>4.1825635177517029E-9</v>
      </c>
      <c r="AL110" s="29"/>
    </row>
    <row r="111" spans="19:38" x14ac:dyDescent="0.25">
      <c r="S111" s="27"/>
      <c r="T111" s="14" t="s">
        <v>196</v>
      </c>
      <c r="U111" s="14">
        <v>23</v>
      </c>
      <c r="V111" s="15">
        <v>2.5360869565217388</v>
      </c>
      <c r="W111" s="15">
        <v>0.45378545675574256</v>
      </c>
      <c r="X111" s="15">
        <v>2.58</v>
      </c>
      <c r="Y111" s="15">
        <v>10.44</v>
      </c>
      <c r="Z111" s="15">
        <v>0.18</v>
      </c>
      <c r="AA111" s="15">
        <v>2.0999999999999996</v>
      </c>
      <c r="AB111" s="28">
        <v>4.0129690552825892E-4</v>
      </c>
      <c r="AC111" s="33"/>
      <c r="AD111" s="34"/>
      <c r="AE111" s="29"/>
      <c r="AG111" s="21" t="s">
        <v>30</v>
      </c>
      <c r="AH111" s="31" t="s">
        <v>197</v>
      </c>
      <c r="AI111" s="31" t="s">
        <v>199</v>
      </c>
      <c r="AJ111" s="32">
        <v>3.8387486583712374</v>
      </c>
      <c r="AK111" s="38">
        <v>6.2481403280134629E-6</v>
      </c>
      <c r="AL111" s="19" t="s">
        <v>62</v>
      </c>
    </row>
    <row r="112" spans="19:38" x14ac:dyDescent="0.25">
      <c r="S112" s="21" t="s">
        <v>30</v>
      </c>
      <c r="T112" s="31" t="s">
        <v>197</v>
      </c>
      <c r="U112" s="31">
        <v>23</v>
      </c>
      <c r="V112" s="32">
        <v>45.576521739130442</v>
      </c>
      <c r="W112" s="32">
        <v>0.38909066416324223</v>
      </c>
      <c r="X112" s="32">
        <v>45.33</v>
      </c>
      <c r="Y112" s="32">
        <v>48.82</v>
      </c>
      <c r="Z112" s="32">
        <v>43.1</v>
      </c>
      <c r="AA112" s="32">
        <v>3.1850000000000023</v>
      </c>
      <c r="AB112" s="33">
        <v>7.3128440718476573E-2</v>
      </c>
      <c r="AC112" s="22">
        <v>6.4600301711078667E-2</v>
      </c>
      <c r="AD112" s="36">
        <v>1.1905999679404925E-5</v>
      </c>
      <c r="AE112" s="19" t="s">
        <v>60</v>
      </c>
      <c r="AG112" s="21"/>
      <c r="AH112" s="14" t="s">
        <v>197</v>
      </c>
      <c r="AI112" s="14" t="s">
        <v>196</v>
      </c>
      <c r="AJ112" s="15">
        <v>2.0099999999999909</v>
      </c>
      <c r="AK112" s="28">
        <v>2.2246003446494633E-2</v>
      </c>
      <c r="AL112" s="19"/>
    </row>
    <row r="113" spans="19:38" x14ac:dyDescent="0.25">
      <c r="S113" s="21"/>
      <c r="T113" s="14" t="s">
        <v>199</v>
      </c>
      <c r="U113" s="14">
        <v>23</v>
      </c>
      <c r="V113" s="15">
        <v>49.415270397501679</v>
      </c>
      <c r="W113" s="15">
        <v>0.66592198110007084</v>
      </c>
      <c r="X113" s="15">
        <v>48.55</v>
      </c>
      <c r="Y113" s="15">
        <v>59.27</v>
      </c>
      <c r="Z113" s="15">
        <v>45.03</v>
      </c>
      <c r="AA113" s="15">
        <v>3.5866983985985001</v>
      </c>
      <c r="AB113" s="16">
        <v>1.6867730336401765E-2</v>
      </c>
      <c r="AC113" s="22"/>
      <c r="AD113" s="23"/>
      <c r="AE113" s="19"/>
      <c r="AG113" s="21"/>
      <c r="AH113" s="25" t="s">
        <v>199</v>
      </c>
      <c r="AI113" s="25" t="s">
        <v>196</v>
      </c>
      <c r="AJ113" s="26">
        <v>1.8287486583712464</v>
      </c>
      <c r="AK113" s="37">
        <v>4.1317523949287338E-2</v>
      </c>
      <c r="AL113" s="19"/>
    </row>
    <row r="114" spans="19:38" x14ac:dyDescent="0.25">
      <c r="S114" s="21"/>
      <c r="T114" s="25" t="s">
        <v>196</v>
      </c>
      <c r="U114" s="25">
        <v>23</v>
      </c>
      <c r="V114" s="26">
        <v>47.586521739130433</v>
      </c>
      <c r="W114" s="26">
        <v>0.47181954106029228</v>
      </c>
      <c r="X114" s="26">
        <v>47.45</v>
      </c>
      <c r="Y114" s="26">
        <v>51.33</v>
      </c>
      <c r="Z114" s="26">
        <v>43.33</v>
      </c>
      <c r="AA114" s="26">
        <v>3.4649999999999963</v>
      </c>
      <c r="AB114" s="17">
        <v>0.47991706991433269</v>
      </c>
      <c r="AC114" s="22"/>
      <c r="AD114" s="23"/>
      <c r="AE114" s="19"/>
      <c r="AG114" s="13" t="s">
        <v>32</v>
      </c>
      <c r="AH114" s="14" t="s">
        <v>197</v>
      </c>
      <c r="AI114" s="14" t="s">
        <v>199</v>
      </c>
      <c r="AJ114" s="15">
        <v>6.4432336890202215</v>
      </c>
      <c r="AK114" s="28">
        <v>2.4299392455962021E-6</v>
      </c>
      <c r="AL114" s="20" t="s">
        <v>75</v>
      </c>
    </row>
    <row r="115" spans="19:38" x14ac:dyDescent="0.25">
      <c r="S115" s="13" t="s">
        <v>32</v>
      </c>
      <c r="T115" s="14" t="s">
        <v>197</v>
      </c>
      <c r="U115" s="14">
        <v>23</v>
      </c>
      <c r="V115" s="15">
        <v>26.111304347826088</v>
      </c>
      <c r="W115" s="15">
        <v>0.5468560173343554</v>
      </c>
      <c r="X115" s="15">
        <v>25.11</v>
      </c>
      <c r="Y115" s="15">
        <v>33.04</v>
      </c>
      <c r="Z115" s="15">
        <v>23.14</v>
      </c>
      <c r="AA115" s="15">
        <v>2.2250000000000014</v>
      </c>
      <c r="AB115" s="28">
        <v>4.7480438836011718E-4</v>
      </c>
      <c r="AC115" s="37">
        <v>1.1431002000390489E-3</v>
      </c>
      <c r="AD115" s="18">
        <v>3.0276035881033468E-6</v>
      </c>
      <c r="AE115" s="20" t="s">
        <v>72</v>
      </c>
      <c r="AG115" s="21"/>
      <c r="AH115" s="14" t="s">
        <v>197</v>
      </c>
      <c r="AI115" s="14" t="s">
        <v>196</v>
      </c>
      <c r="AJ115" s="15">
        <v>4.4082608695652183</v>
      </c>
      <c r="AK115" s="28">
        <v>1.1660598325526905E-3</v>
      </c>
      <c r="AL115" s="19"/>
    </row>
    <row r="116" spans="19:38" x14ac:dyDescent="0.25">
      <c r="S116" s="21"/>
      <c r="T116" s="14" t="s">
        <v>199</v>
      </c>
      <c r="U116" s="14">
        <v>23</v>
      </c>
      <c r="V116" s="15">
        <v>32.55453803684631</v>
      </c>
      <c r="W116" s="15">
        <v>1.2142607651629338</v>
      </c>
      <c r="X116" s="15">
        <v>31.39</v>
      </c>
      <c r="Y116" s="15">
        <v>47.1</v>
      </c>
      <c r="Z116" s="15">
        <v>25.15</v>
      </c>
      <c r="AA116" s="15">
        <v>6.3996477743663007</v>
      </c>
      <c r="AB116" s="28">
        <v>2.8573080155392949E-2</v>
      </c>
      <c r="AC116" s="22"/>
      <c r="AD116" s="23"/>
      <c r="AE116" s="19"/>
      <c r="AG116" s="27"/>
      <c r="AH116" s="14" t="s">
        <v>199</v>
      </c>
      <c r="AI116" s="14" t="s">
        <v>196</v>
      </c>
      <c r="AJ116" s="15">
        <v>2.0349728194550032</v>
      </c>
      <c r="AK116" s="16">
        <v>0.20536098390408475</v>
      </c>
      <c r="AL116" s="29"/>
    </row>
    <row r="117" spans="19:38" x14ac:dyDescent="0.25">
      <c r="S117" s="27"/>
      <c r="T117" s="14" t="s">
        <v>196</v>
      </c>
      <c r="U117" s="14">
        <v>23</v>
      </c>
      <c r="V117" s="15">
        <v>30.519565217391307</v>
      </c>
      <c r="W117" s="15">
        <v>0.57095803209291207</v>
      </c>
      <c r="X117" s="15">
        <v>29.67</v>
      </c>
      <c r="Y117" s="15">
        <v>36.979999999999997</v>
      </c>
      <c r="Z117" s="15">
        <v>26.72</v>
      </c>
      <c r="AA117" s="15">
        <v>3.8400000000000034</v>
      </c>
      <c r="AB117" s="16">
        <v>0.21237362583402986</v>
      </c>
      <c r="AC117" s="33"/>
      <c r="AD117" s="34"/>
      <c r="AE117" s="29"/>
    </row>
  </sheetData>
  <mergeCells count="12">
    <mergeCell ref="AE95:AE96"/>
    <mergeCell ref="S95:T96"/>
    <mergeCell ref="U95:U96"/>
    <mergeCell ref="V95:V96"/>
    <mergeCell ref="W95:W96"/>
    <mergeCell ref="X95:X96"/>
    <mergeCell ref="Y95:Y96"/>
    <mergeCell ref="Z95:Z96"/>
    <mergeCell ref="AA95:AA96"/>
    <mergeCell ref="AB95:AB96"/>
    <mergeCell ref="AC95:AC96"/>
    <mergeCell ref="AD95:AD9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D8BAD-C7AF-4A1A-AC36-CFEEBD460C56}">
  <dimension ref="A1:M24"/>
  <sheetViews>
    <sheetView workbookViewId="0"/>
  </sheetViews>
  <sheetFormatPr baseColWidth="10" defaultRowHeight="15" x14ac:dyDescent="0.25"/>
  <cols>
    <col min="1" max="1" width="23" customWidth="1"/>
    <col min="3" max="4" width="11.42578125" style="1"/>
    <col min="8" max="8" width="11.42578125" style="2"/>
    <col min="9" max="9" width="11.42578125" style="39"/>
    <col min="10" max="10" width="11.42578125" style="40"/>
    <col min="11" max="11" width="11.42578125" style="41"/>
    <col min="12" max="12" width="11.42578125" style="6"/>
    <col min="13" max="13" width="11.42578125" style="42"/>
  </cols>
  <sheetData>
    <row r="1" spans="1:13" x14ac:dyDescent="0.25">
      <c r="A1" t="s">
        <v>0</v>
      </c>
      <c r="B1" t="s">
        <v>1</v>
      </c>
      <c r="C1" s="1" t="s">
        <v>25</v>
      </c>
      <c r="D1" s="1" t="s">
        <v>26</v>
      </c>
      <c r="F1" t="s">
        <v>198</v>
      </c>
      <c r="G1" t="s">
        <v>101</v>
      </c>
      <c r="H1" s="2" t="s">
        <v>79</v>
      </c>
      <c r="I1" s="39" t="s">
        <v>27</v>
      </c>
      <c r="J1" s="40" t="s">
        <v>28</v>
      </c>
      <c r="K1" s="41" t="s">
        <v>29</v>
      </c>
      <c r="L1" s="6" t="s">
        <v>30</v>
      </c>
      <c r="M1" s="42" t="s">
        <v>80</v>
      </c>
    </row>
    <row r="2" spans="1:13" x14ac:dyDescent="0.25">
      <c r="A2" t="s">
        <v>81</v>
      </c>
      <c r="B2" t="s">
        <v>82</v>
      </c>
      <c r="C2" s="8">
        <v>3.9</v>
      </c>
      <c r="D2" s="8">
        <v>13.85</v>
      </c>
      <c r="F2" t="s">
        <v>197</v>
      </c>
      <c r="G2">
        <v>8.875</v>
      </c>
      <c r="H2" s="43">
        <v>128.91</v>
      </c>
      <c r="I2" s="44">
        <v>84.37</v>
      </c>
      <c r="J2" s="45">
        <v>2.67</v>
      </c>
      <c r="K2" s="46">
        <v>2.08</v>
      </c>
      <c r="L2" s="47">
        <v>43.43</v>
      </c>
      <c r="M2" s="48">
        <v>25.41</v>
      </c>
    </row>
    <row r="3" spans="1:13" x14ac:dyDescent="0.25">
      <c r="A3" t="s">
        <v>83</v>
      </c>
      <c r="B3" t="s">
        <v>84</v>
      </c>
      <c r="C3" s="8">
        <v>10.15</v>
      </c>
      <c r="D3" s="8">
        <v>11.81</v>
      </c>
      <c r="F3" t="s">
        <v>197</v>
      </c>
      <c r="G3">
        <v>10.98</v>
      </c>
      <c r="H3" s="43">
        <v>129.61000000000001</v>
      </c>
      <c r="I3" s="44">
        <v>83.62</v>
      </c>
      <c r="J3" s="45">
        <v>3.9</v>
      </c>
      <c r="K3" s="46">
        <v>2.33</v>
      </c>
      <c r="L3" s="47">
        <v>48.35</v>
      </c>
      <c r="M3" s="48">
        <v>26.68</v>
      </c>
    </row>
    <row r="4" spans="1:13" x14ac:dyDescent="0.25">
      <c r="A4" t="s">
        <v>175</v>
      </c>
      <c r="B4" t="s">
        <v>85</v>
      </c>
      <c r="C4" s="1">
        <v>10.07</v>
      </c>
      <c r="D4" s="1">
        <v>15.15</v>
      </c>
      <c r="F4" t="s">
        <v>197</v>
      </c>
      <c r="G4">
        <v>12.61</v>
      </c>
      <c r="H4" s="2">
        <v>133.56</v>
      </c>
      <c r="I4" s="39">
        <v>85.88</v>
      </c>
      <c r="J4" s="40">
        <v>3.11</v>
      </c>
      <c r="K4" s="41">
        <v>-3.34</v>
      </c>
      <c r="L4" s="6">
        <v>43.7</v>
      </c>
      <c r="M4" s="42">
        <v>25.38</v>
      </c>
    </row>
    <row r="5" spans="1:13" x14ac:dyDescent="0.25">
      <c r="A5" t="s">
        <v>176</v>
      </c>
      <c r="B5" t="s">
        <v>86</v>
      </c>
      <c r="C5" s="1">
        <v>8.25</v>
      </c>
      <c r="D5" s="1">
        <v>15.36</v>
      </c>
      <c r="F5" t="s">
        <v>197</v>
      </c>
      <c r="G5">
        <v>11.805</v>
      </c>
      <c r="H5" s="2">
        <v>131.19</v>
      </c>
      <c r="I5" s="39">
        <v>83.35</v>
      </c>
      <c r="J5" s="40">
        <v>2.93</v>
      </c>
      <c r="K5" s="41">
        <v>4.5199999999999996</v>
      </c>
      <c r="L5" s="6">
        <v>46.69</v>
      </c>
      <c r="M5" s="42">
        <v>24.72</v>
      </c>
    </row>
    <row r="6" spans="1:13" x14ac:dyDescent="0.25">
      <c r="A6" t="s">
        <v>177</v>
      </c>
      <c r="B6" t="s">
        <v>87</v>
      </c>
      <c r="C6" s="1">
        <v>23.76</v>
      </c>
      <c r="D6" s="1">
        <v>25.33</v>
      </c>
      <c r="F6" t="s">
        <v>197</v>
      </c>
      <c r="G6">
        <v>24.545000000000002</v>
      </c>
      <c r="H6" s="2">
        <v>118.19</v>
      </c>
      <c r="I6" s="39">
        <v>86.17</v>
      </c>
      <c r="J6" s="40">
        <v>4.12</v>
      </c>
      <c r="K6" s="41">
        <v>-9.98</v>
      </c>
      <c r="L6" s="6">
        <v>43.87</v>
      </c>
      <c r="M6" s="42">
        <v>27.8</v>
      </c>
    </row>
    <row r="7" spans="1:13" x14ac:dyDescent="0.25">
      <c r="A7" t="s">
        <v>178</v>
      </c>
      <c r="B7" t="s">
        <v>88</v>
      </c>
      <c r="C7" s="1">
        <v>20.43</v>
      </c>
      <c r="D7" s="1">
        <v>28.17</v>
      </c>
      <c r="F7" t="s">
        <v>197</v>
      </c>
      <c r="G7">
        <v>24.3</v>
      </c>
      <c r="H7" s="2">
        <v>118.03</v>
      </c>
      <c r="I7" s="39">
        <v>86.64</v>
      </c>
      <c r="J7" s="40">
        <v>4.83</v>
      </c>
      <c r="K7" s="41">
        <v>0.08</v>
      </c>
      <c r="L7" s="6">
        <v>47.11</v>
      </c>
      <c r="M7" s="42">
        <v>30.15</v>
      </c>
    </row>
    <row r="8" spans="1:13" x14ac:dyDescent="0.25">
      <c r="A8" t="s">
        <v>179</v>
      </c>
      <c r="B8" t="s">
        <v>89</v>
      </c>
      <c r="C8" s="1">
        <v>16.28</v>
      </c>
      <c r="D8" s="1">
        <v>13.24</v>
      </c>
      <c r="F8" t="s">
        <v>197</v>
      </c>
      <c r="G8">
        <v>14.760000000000002</v>
      </c>
      <c r="H8" s="2">
        <v>133.12</v>
      </c>
      <c r="I8" s="39">
        <v>86.43</v>
      </c>
      <c r="J8" s="40">
        <v>5.69</v>
      </c>
      <c r="K8" s="41">
        <v>2.34</v>
      </c>
      <c r="L8" s="6">
        <v>43.1</v>
      </c>
      <c r="M8" s="42">
        <v>23.78</v>
      </c>
    </row>
    <row r="9" spans="1:13" x14ac:dyDescent="0.25">
      <c r="A9" t="s">
        <v>180</v>
      </c>
      <c r="B9" t="s">
        <v>90</v>
      </c>
      <c r="C9" s="1">
        <v>5.63</v>
      </c>
      <c r="D9" s="1">
        <v>15.89</v>
      </c>
      <c r="F9" t="s">
        <v>197</v>
      </c>
      <c r="G9">
        <v>10.76</v>
      </c>
      <c r="H9" s="2">
        <v>124.43</v>
      </c>
      <c r="I9" s="39">
        <v>83.02</v>
      </c>
      <c r="J9" s="40">
        <v>1.92</v>
      </c>
      <c r="K9" s="41">
        <v>4.33</v>
      </c>
      <c r="L9" s="6">
        <v>46.11</v>
      </c>
      <c r="M9" s="42">
        <v>24.75</v>
      </c>
    </row>
    <row r="10" spans="1:13" x14ac:dyDescent="0.25">
      <c r="A10" t="s">
        <v>181</v>
      </c>
      <c r="B10" t="s">
        <v>91</v>
      </c>
      <c r="C10" s="1">
        <v>20.09</v>
      </c>
      <c r="D10" s="1">
        <v>17.46</v>
      </c>
      <c r="F10" t="s">
        <v>197</v>
      </c>
      <c r="G10">
        <v>18.774999999999999</v>
      </c>
      <c r="H10" s="2">
        <v>136.32</v>
      </c>
      <c r="I10" s="39">
        <v>85.24</v>
      </c>
      <c r="J10" s="40">
        <v>0.56000000000000005</v>
      </c>
      <c r="K10" s="41">
        <v>1.63</v>
      </c>
      <c r="L10" s="6">
        <v>43.93</v>
      </c>
      <c r="M10" s="42">
        <v>24.78</v>
      </c>
    </row>
    <row r="11" spans="1:13" x14ac:dyDescent="0.25">
      <c r="A11" t="s">
        <v>182</v>
      </c>
      <c r="B11" s="49">
        <v>130</v>
      </c>
      <c r="C11" s="1">
        <v>13.53</v>
      </c>
      <c r="D11" s="1">
        <v>14.62</v>
      </c>
      <c r="F11" t="s">
        <v>197</v>
      </c>
      <c r="G11">
        <v>14.074999999999999</v>
      </c>
      <c r="H11" s="2">
        <v>126.14</v>
      </c>
      <c r="I11" s="39">
        <v>84.16</v>
      </c>
      <c r="J11" s="40">
        <v>2.66</v>
      </c>
      <c r="K11" s="41">
        <v>3.91</v>
      </c>
      <c r="L11" s="6">
        <v>48.82</v>
      </c>
      <c r="M11" s="42">
        <v>23.14</v>
      </c>
    </row>
    <row r="12" spans="1:13" x14ac:dyDescent="0.25">
      <c r="A12" t="s">
        <v>183</v>
      </c>
      <c r="B12" s="49">
        <v>131</v>
      </c>
      <c r="C12" s="1">
        <v>15.24</v>
      </c>
      <c r="D12" s="1">
        <v>21.68</v>
      </c>
      <c r="F12" t="s">
        <v>197</v>
      </c>
      <c r="G12">
        <v>18.46</v>
      </c>
      <c r="H12" s="2">
        <v>135.49</v>
      </c>
      <c r="I12" s="39">
        <v>84.66</v>
      </c>
      <c r="J12" s="40">
        <v>4.5199999999999996</v>
      </c>
      <c r="K12" s="41">
        <v>1.35</v>
      </c>
      <c r="L12" s="6">
        <v>44.57</v>
      </c>
      <c r="M12" s="42">
        <v>24.27</v>
      </c>
    </row>
    <row r="13" spans="1:13" x14ac:dyDescent="0.25">
      <c r="A13" t="s">
        <v>184</v>
      </c>
      <c r="B13" s="49">
        <v>132</v>
      </c>
      <c r="C13" s="1">
        <v>15.48</v>
      </c>
      <c r="D13" s="1">
        <v>19.37</v>
      </c>
      <c r="F13" t="s">
        <v>197</v>
      </c>
      <c r="G13">
        <v>17.425000000000001</v>
      </c>
      <c r="H13" s="2">
        <v>134.11000000000001</v>
      </c>
      <c r="I13" s="39">
        <v>84.47</v>
      </c>
      <c r="J13" s="40">
        <v>4.07</v>
      </c>
      <c r="K13" s="41">
        <v>4.21</v>
      </c>
      <c r="L13" s="6">
        <v>48.23</v>
      </c>
      <c r="M13" s="42">
        <v>24.39</v>
      </c>
    </row>
    <row r="14" spans="1:13" x14ac:dyDescent="0.25">
      <c r="A14" t="s">
        <v>185</v>
      </c>
      <c r="B14" s="49">
        <v>133</v>
      </c>
      <c r="C14" s="1">
        <v>16.32</v>
      </c>
      <c r="D14" s="1">
        <v>20.23</v>
      </c>
      <c r="F14" t="s">
        <v>197</v>
      </c>
      <c r="G14">
        <v>18.274999999999999</v>
      </c>
      <c r="H14" s="2">
        <v>136.35</v>
      </c>
      <c r="I14" s="39">
        <v>83.34</v>
      </c>
      <c r="J14" s="40">
        <v>3.18</v>
      </c>
      <c r="K14" s="41">
        <v>3.9</v>
      </c>
      <c r="L14" s="6">
        <v>47.85</v>
      </c>
      <c r="M14" s="42">
        <v>26.61</v>
      </c>
    </row>
    <row r="15" spans="1:13" x14ac:dyDescent="0.25">
      <c r="A15" t="s">
        <v>186</v>
      </c>
      <c r="B15" s="49">
        <v>134</v>
      </c>
      <c r="C15" s="1">
        <v>12.14</v>
      </c>
      <c r="D15" s="1">
        <v>22.94</v>
      </c>
      <c r="F15" t="s">
        <v>197</v>
      </c>
      <c r="G15">
        <v>17.54</v>
      </c>
      <c r="H15" s="2">
        <v>126.85</v>
      </c>
      <c r="I15" s="39">
        <v>89.2</v>
      </c>
      <c r="J15" s="40">
        <v>3.56</v>
      </c>
      <c r="K15" s="41">
        <v>2.0099999999999998</v>
      </c>
      <c r="L15" s="6">
        <v>47.01</v>
      </c>
      <c r="M15" s="42">
        <v>32.619999999999997</v>
      </c>
    </row>
    <row r="16" spans="1:13" x14ac:dyDescent="0.25">
      <c r="A16" t="s">
        <v>187</v>
      </c>
      <c r="B16" t="s">
        <v>92</v>
      </c>
      <c r="C16" s="1">
        <v>17.13</v>
      </c>
      <c r="D16" s="1">
        <v>21.98</v>
      </c>
      <c r="F16" t="s">
        <v>197</v>
      </c>
      <c r="G16">
        <v>19.555</v>
      </c>
      <c r="H16" s="2">
        <v>131.29</v>
      </c>
      <c r="I16" s="39">
        <v>84.03</v>
      </c>
      <c r="J16" s="40">
        <v>5.3</v>
      </c>
      <c r="K16" s="41">
        <v>1.61</v>
      </c>
      <c r="L16" s="6">
        <v>45.75</v>
      </c>
      <c r="M16" s="42">
        <v>24.94</v>
      </c>
    </row>
    <row r="17" spans="1:13" x14ac:dyDescent="0.25">
      <c r="A17" t="s">
        <v>188</v>
      </c>
      <c r="B17" t="s">
        <v>93</v>
      </c>
      <c r="C17" s="1">
        <v>22.7</v>
      </c>
      <c r="D17" s="1">
        <v>21.8</v>
      </c>
      <c r="F17" t="s">
        <v>197</v>
      </c>
      <c r="G17">
        <v>22.25</v>
      </c>
      <c r="H17" s="2">
        <v>127.58</v>
      </c>
      <c r="I17" s="39">
        <v>88.39</v>
      </c>
      <c r="J17" s="40">
        <v>2.0699999999999998</v>
      </c>
      <c r="K17" s="41">
        <v>3.46</v>
      </c>
      <c r="L17" s="6">
        <v>43.62</v>
      </c>
      <c r="M17" s="42">
        <v>25.11</v>
      </c>
    </row>
    <row r="18" spans="1:13" x14ac:dyDescent="0.25">
      <c r="A18" t="s">
        <v>189</v>
      </c>
      <c r="B18" t="s">
        <v>94</v>
      </c>
      <c r="C18" s="1">
        <v>22.8</v>
      </c>
      <c r="D18" s="1">
        <v>20.73</v>
      </c>
      <c r="F18" t="s">
        <v>197</v>
      </c>
      <c r="G18">
        <v>21.765000000000001</v>
      </c>
      <c r="H18" s="2">
        <v>133.80000000000001</v>
      </c>
      <c r="I18" s="39">
        <v>85.6</v>
      </c>
      <c r="J18" s="40">
        <v>4.3600000000000003</v>
      </c>
      <c r="K18" s="41">
        <v>0.09</v>
      </c>
      <c r="L18" s="6">
        <v>43.88</v>
      </c>
      <c r="M18" s="42">
        <v>24.97</v>
      </c>
    </row>
    <row r="19" spans="1:13" x14ac:dyDescent="0.25">
      <c r="A19" t="s">
        <v>190</v>
      </c>
      <c r="B19" t="s">
        <v>95</v>
      </c>
      <c r="C19" s="1">
        <v>17.46</v>
      </c>
      <c r="D19" s="1">
        <v>28.44</v>
      </c>
      <c r="F19" t="s">
        <v>197</v>
      </c>
      <c r="G19">
        <v>22.950000000000003</v>
      </c>
      <c r="H19" s="2">
        <v>127.7</v>
      </c>
      <c r="I19" s="39">
        <v>83.65</v>
      </c>
      <c r="J19" s="40">
        <v>5.84</v>
      </c>
      <c r="K19" s="41">
        <v>0.37</v>
      </c>
      <c r="L19" s="6">
        <v>44.39</v>
      </c>
      <c r="M19" s="42">
        <v>27.18</v>
      </c>
    </row>
    <row r="20" spans="1:13" x14ac:dyDescent="0.25">
      <c r="A20" t="s">
        <v>191</v>
      </c>
      <c r="B20" t="s">
        <v>96</v>
      </c>
      <c r="C20" s="1">
        <v>25.79</v>
      </c>
      <c r="D20" s="1">
        <v>21.74</v>
      </c>
      <c r="F20" t="s">
        <v>197</v>
      </c>
      <c r="G20">
        <v>23.765000000000001</v>
      </c>
      <c r="H20" s="2">
        <v>124.72</v>
      </c>
      <c r="I20" s="39">
        <v>87.16</v>
      </c>
      <c r="J20" s="40">
        <v>4.17</v>
      </c>
      <c r="K20" s="41">
        <v>1.78</v>
      </c>
      <c r="L20" s="6">
        <v>45.33</v>
      </c>
      <c r="M20" s="42">
        <v>25.86</v>
      </c>
    </row>
    <row r="21" spans="1:13" x14ac:dyDescent="0.25">
      <c r="A21" t="s">
        <v>192</v>
      </c>
      <c r="B21" t="s">
        <v>97</v>
      </c>
      <c r="C21" s="1">
        <v>17.82</v>
      </c>
      <c r="D21" s="1">
        <v>15.44</v>
      </c>
      <c r="F21" t="s">
        <v>197</v>
      </c>
      <c r="G21">
        <v>16.63</v>
      </c>
      <c r="H21" s="2">
        <v>134.15</v>
      </c>
      <c r="I21" s="39">
        <v>84.02</v>
      </c>
      <c r="J21" s="40">
        <v>3.69</v>
      </c>
      <c r="K21" s="41">
        <v>-0.28000000000000003</v>
      </c>
      <c r="L21" s="6">
        <v>47.56</v>
      </c>
      <c r="M21" s="42">
        <v>26.88</v>
      </c>
    </row>
    <row r="22" spans="1:13" x14ac:dyDescent="0.25">
      <c r="A22" t="s">
        <v>193</v>
      </c>
      <c r="B22" t="s">
        <v>98</v>
      </c>
      <c r="C22" s="1">
        <v>23.43</v>
      </c>
      <c r="D22" s="1">
        <v>21.17</v>
      </c>
      <c r="F22" t="s">
        <v>197</v>
      </c>
      <c r="G22">
        <v>22.3</v>
      </c>
      <c r="H22" s="2">
        <v>129.49</v>
      </c>
      <c r="I22" s="39">
        <v>87.31</v>
      </c>
      <c r="J22" s="40">
        <v>5.22</v>
      </c>
      <c r="K22" s="41">
        <v>-2.5299999999999998</v>
      </c>
      <c r="L22" s="6">
        <v>46.65</v>
      </c>
      <c r="M22" s="42">
        <v>33.04</v>
      </c>
    </row>
    <row r="23" spans="1:13" x14ac:dyDescent="0.25">
      <c r="A23" t="s">
        <v>194</v>
      </c>
      <c r="B23" t="s">
        <v>99</v>
      </c>
      <c r="C23" s="1">
        <v>18.57</v>
      </c>
      <c r="D23" s="1">
        <v>15.41</v>
      </c>
      <c r="F23" t="s">
        <v>197</v>
      </c>
      <c r="G23">
        <v>16.990000000000002</v>
      </c>
      <c r="H23" s="2">
        <v>134.56</v>
      </c>
      <c r="I23" s="39">
        <v>84.11</v>
      </c>
      <c r="J23" s="40">
        <v>4.16</v>
      </c>
      <c r="K23" s="41">
        <v>0.28000000000000003</v>
      </c>
      <c r="L23" s="6">
        <v>45.16</v>
      </c>
      <c r="M23" s="42">
        <v>23.91</v>
      </c>
    </row>
    <row r="24" spans="1:13" x14ac:dyDescent="0.25">
      <c r="A24" t="s">
        <v>195</v>
      </c>
      <c r="B24" t="s">
        <v>100</v>
      </c>
      <c r="C24" s="1">
        <v>14.82</v>
      </c>
      <c r="D24" s="1">
        <v>16.84</v>
      </c>
      <c r="F24" t="s">
        <v>197</v>
      </c>
      <c r="G24">
        <v>15.83</v>
      </c>
      <c r="H24" s="2">
        <v>135.12</v>
      </c>
      <c r="I24" s="39">
        <v>86.51</v>
      </c>
      <c r="J24" s="40">
        <v>3.97</v>
      </c>
      <c r="K24" s="41">
        <v>5.51</v>
      </c>
      <c r="L24" s="6">
        <v>43.15</v>
      </c>
      <c r="M24" s="42">
        <v>24.19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068E1-C5DA-45DF-B254-890CF4FE9504}">
  <dimension ref="A1:M24"/>
  <sheetViews>
    <sheetView workbookViewId="0"/>
  </sheetViews>
  <sheetFormatPr baseColWidth="10" defaultRowHeight="15" x14ac:dyDescent="0.25"/>
  <cols>
    <col min="1" max="1" width="22.85546875" customWidth="1"/>
    <col min="3" max="4" width="11.42578125" style="55"/>
    <col min="8" max="8" width="11.42578125" style="50"/>
    <col min="9" max="9" width="11.42578125" style="39"/>
    <col min="10" max="10" width="11.42578125" style="40"/>
    <col min="11" max="11" width="11.42578125" style="41"/>
    <col min="12" max="12" width="11.42578125" style="6"/>
    <col min="13" max="13" width="11.42578125" style="51"/>
  </cols>
  <sheetData>
    <row r="1" spans="1:13" x14ac:dyDescent="0.25">
      <c r="A1" t="s">
        <v>0</v>
      </c>
      <c r="B1" t="s">
        <v>1</v>
      </c>
      <c r="C1" s="55" t="s">
        <v>25</v>
      </c>
      <c r="D1" s="55" t="s">
        <v>26</v>
      </c>
      <c r="F1" t="s">
        <v>66</v>
      </c>
      <c r="G1" t="s">
        <v>101</v>
      </c>
      <c r="H1" s="50" t="s">
        <v>79</v>
      </c>
      <c r="I1" s="39" t="s">
        <v>27</v>
      </c>
      <c r="J1" s="40" t="s">
        <v>28</v>
      </c>
      <c r="K1" s="41" t="s">
        <v>29</v>
      </c>
      <c r="L1" s="6" t="s">
        <v>30</v>
      </c>
      <c r="M1" s="51" t="s">
        <v>80</v>
      </c>
    </row>
    <row r="2" spans="1:13" x14ac:dyDescent="0.25">
      <c r="A2" t="s">
        <v>102</v>
      </c>
      <c r="B2" t="s">
        <v>103</v>
      </c>
      <c r="C2" s="55">
        <v>18.829999999999998</v>
      </c>
      <c r="D2" s="55">
        <v>20.78</v>
      </c>
      <c r="F2" t="s">
        <v>61</v>
      </c>
      <c r="G2">
        <v>19.805</v>
      </c>
      <c r="H2" s="50">
        <v>131.99</v>
      </c>
      <c r="I2" s="39">
        <v>74.510000000000005</v>
      </c>
      <c r="J2" s="40">
        <v>5.89</v>
      </c>
      <c r="K2" s="41">
        <v>1.04</v>
      </c>
      <c r="L2" s="6">
        <v>47.3</v>
      </c>
      <c r="M2" s="51">
        <v>27.17</v>
      </c>
    </row>
    <row r="3" spans="1:13" x14ac:dyDescent="0.25">
      <c r="A3" t="s">
        <v>104</v>
      </c>
      <c r="B3" t="s">
        <v>105</v>
      </c>
      <c r="C3" s="55">
        <v>16.68</v>
      </c>
      <c r="D3" s="55">
        <v>17.47</v>
      </c>
      <c r="F3" t="s">
        <v>61</v>
      </c>
      <c r="G3">
        <v>17.074999999999999</v>
      </c>
      <c r="H3" s="50">
        <v>129.13999999999999</v>
      </c>
      <c r="I3" s="39">
        <v>71.81</v>
      </c>
      <c r="J3" s="40">
        <v>6.02</v>
      </c>
      <c r="K3" s="41">
        <v>2.09</v>
      </c>
      <c r="L3" s="6">
        <v>46.73</v>
      </c>
      <c r="M3" s="51">
        <v>26.08</v>
      </c>
    </row>
    <row r="4" spans="1:13" x14ac:dyDescent="0.25">
      <c r="A4" t="s">
        <v>106</v>
      </c>
      <c r="B4" t="s">
        <v>107</v>
      </c>
      <c r="C4" s="55">
        <v>19.73</v>
      </c>
      <c r="D4" s="55">
        <v>15.65</v>
      </c>
      <c r="F4" t="s">
        <v>61</v>
      </c>
      <c r="G4">
        <v>17.690000000000001</v>
      </c>
      <c r="H4" s="50">
        <v>132.02000000000001</v>
      </c>
      <c r="I4" s="39">
        <v>70.150000000000006</v>
      </c>
      <c r="J4" s="40">
        <v>7.89</v>
      </c>
      <c r="K4" s="41">
        <v>2.99</v>
      </c>
      <c r="L4" s="6">
        <v>48.44</v>
      </c>
      <c r="M4" s="51">
        <v>29.28</v>
      </c>
    </row>
    <row r="5" spans="1:13" x14ac:dyDescent="0.25">
      <c r="A5" t="s">
        <v>108</v>
      </c>
      <c r="B5" t="s">
        <v>109</v>
      </c>
      <c r="C5" s="55">
        <v>24.03</v>
      </c>
      <c r="D5" s="55">
        <v>23.32</v>
      </c>
      <c r="F5" t="s">
        <v>61</v>
      </c>
      <c r="G5">
        <v>23.675000000000001</v>
      </c>
      <c r="H5" s="50">
        <v>131.43</v>
      </c>
      <c r="I5" s="39">
        <v>71.510000000000005</v>
      </c>
      <c r="J5" s="40">
        <v>5.96</v>
      </c>
      <c r="K5" s="41">
        <v>0.97</v>
      </c>
      <c r="L5" s="6">
        <v>51.34</v>
      </c>
      <c r="M5" s="51">
        <v>42.62</v>
      </c>
    </row>
    <row r="6" spans="1:13" x14ac:dyDescent="0.25">
      <c r="A6" t="s">
        <v>110</v>
      </c>
      <c r="B6" t="s">
        <v>111</v>
      </c>
      <c r="C6" s="55">
        <v>28.15</v>
      </c>
      <c r="D6" s="55">
        <v>25</v>
      </c>
      <c r="F6" t="s">
        <v>61</v>
      </c>
      <c r="G6">
        <v>26.574999999999999</v>
      </c>
      <c r="H6" s="50">
        <v>121.85</v>
      </c>
      <c r="I6" s="39">
        <v>72.430000000000007</v>
      </c>
      <c r="J6" s="40">
        <v>6.74</v>
      </c>
      <c r="K6" s="41">
        <v>3.63</v>
      </c>
      <c r="L6" s="6">
        <v>51.16</v>
      </c>
      <c r="M6" s="51">
        <v>47.1</v>
      </c>
    </row>
    <row r="7" spans="1:13" x14ac:dyDescent="0.25">
      <c r="A7" t="s">
        <v>112</v>
      </c>
      <c r="B7" t="s">
        <v>113</v>
      </c>
      <c r="C7" s="55">
        <v>20.64</v>
      </c>
      <c r="D7" s="55">
        <v>16.98</v>
      </c>
      <c r="F7" t="s">
        <v>61</v>
      </c>
      <c r="G7">
        <v>18.810000000000002</v>
      </c>
      <c r="H7" s="50">
        <v>137.77000000000001</v>
      </c>
      <c r="I7" s="39">
        <v>72.53</v>
      </c>
      <c r="J7" s="40">
        <v>6.76</v>
      </c>
      <c r="K7" s="41">
        <v>5.16</v>
      </c>
      <c r="L7" s="6">
        <v>48.6</v>
      </c>
      <c r="M7" s="51">
        <v>25.15</v>
      </c>
    </row>
    <row r="8" spans="1:13" x14ac:dyDescent="0.25">
      <c r="A8" t="s">
        <v>115</v>
      </c>
      <c r="B8" t="s">
        <v>116</v>
      </c>
      <c r="C8" s="55">
        <v>24.24</v>
      </c>
      <c r="D8" s="55">
        <v>22.29</v>
      </c>
      <c r="F8" t="s">
        <v>61</v>
      </c>
      <c r="G8">
        <v>23.265000000000001</v>
      </c>
      <c r="H8" s="50">
        <v>128.91</v>
      </c>
      <c r="I8" s="39">
        <v>72.290000000000006</v>
      </c>
      <c r="J8" s="40">
        <v>7.81</v>
      </c>
      <c r="K8" s="41">
        <v>1.78</v>
      </c>
      <c r="L8" s="6">
        <v>50.4</v>
      </c>
      <c r="M8" s="51">
        <v>35.58</v>
      </c>
    </row>
    <row r="9" spans="1:13" x14ac:dyDescent="0.25">
      <c r="A9" t="s">
        <v>117</v>
      </c>
      <c r="B9" t="s">
        <v>118</v>
      </c>
      <c r="C9" s="55">
        <v>21.2</v>
      </c>
      <c r="D9" s="55">
        <v>22.19</v>
      </c>
      <c r="F9" t="s">
        <v>61</v>
      </c>
      <c r="G9">
        <v>21.695</v>
      </c>
      <c r="H9" s="50">
        <v>133.69999999999999</v>
      </c>
      <c r="I9" s="39">
        <v>72.2</v>
      </c>
      <c r="J9" s="40">
        <v>5.87</v>
      </c>
      <c r="K9" s="41">
        <v>3.99</v>
      </c>
      <c r="L9" s="6">
        <v>47.67</v>
      </c>
      <c r="M9" s="51">
        <v>29.29</v>
      </c>
    </row>
    <row r="10" spans="1:13" x14ac:dyDescent="0.25">
      <c r="A10" t="s">
        <v>120</v>
      </c>
      <c r="B10" t="s">
        <v>121</v>
      </c>
      <c r="C10" s="55">
        <v>16.61</v>
      </c>
      <c r="D10" s="55">
        <v>17.48</v>
      </c>
      <c r="F10" t="s">
        <v>61</v>
      </c>
      <c r="G10">
        <v>17.045000000000002</v>
      </c>
      <c r="H10" s="50">
        <v>133.44</v>
      </c>
      <c r="I10" s="39">
        <v>74.260000000000005</v>
      </c>
      <c r="J10" s="40">
        <v>6.3</v>
      </c>
      <c r="K10" s="41">
        <v>1.52</v>
      </c>
      <c r="L10" s="6">
        <v>47.12</v>
      </c>
      <c r="M10" s="51">
        <v>30.19</v>
      </c>
    </row>
    <row r="11" spans="1:13" x14ac:dyDescent="0.25">
      <c r="A11" t="s">
        <v>123</v>
      </c>
      <c r="B11" t="s">
        <v>124</v>
      </c>
      <c r="C11" s="55">
        <v>17.88</v>
      </c>
      <c r="D11" s="55">
        <v>22.99</v>
      </c>
      <c r="F11" t="s">
        <v>61</v>
      </c>
      <c r="G11">
        <v>20.434999999999999</v>
      </c>
      <c r="H11" s="50">
        <v>135.12</v>
      </c>
      <c r="I11" s="39">
        <v>74.61</v>
      </c>
      <c r="J11" s="40">
        <v>5.51</v>
      </c>
      <c r="K11" s="41">
        <v>4.04</v>
      </c>
      <c r="L11" s="6">
        <v>51.96</v>
      </c>
      <c r="M11" s="51">
        <v>34.08</v>
      </c>
    </row>
    <row r="12" spans="1:13" x14ac:dyDescent="0.25">
      <c r="A12" t="s">
        <v>126</v>
      </c>
      <c r="B12" t="s">
        <v>127</v>
      </c>
      <c r="C12" s="55">
        <v>19.399999999999999</v>
      </c>
      <c r="D12" s="55">
        <v>16.43</v>
      </c>
      <c r="F12" t="s">
        <v>61</v>
      </c>
      <c r="G12">
        <v>17.914999999999999</v>
      </c>
      <c r="H12" s="50">
        <v>121.28</v>
      </c>
      <c r="I12" s="39">
        <v>71.650000000000006</v>
      </c>
      <c r="J12" s="40">
        <v>6.72</v>
      </c>
      <c r="K12" s="41">
        <v>6.98</v>
      </c>
      <c r="L12" s="6">
        <v>45.48</v>
      </c>
      <c r="M12" s="51">
        <v>31.39</v>
      </c>
    </row>
    <row r="13" spans="1:13" x14ac:dyDescent="0.25">
      <c r="A13" t="s">
        <v>128</v>
      </c>
      <c r="B13" t="s">
        <v>129</v>
      </c>
      <c r="C13" s="55">
        <v>13.06</v>
      </c>
      <c r="D13" s="55">
        <v>23.3</v>
      </c>
      <c r="F13" t="s">
        <v>61</v>
      </c>
      <c r="G13">
        <v>18.18</v>
      </c>
      <c r="H13" s="50">
        <v>129.83000000000001</v>
      </c>
      <c r="I13" s="39">
        <v>73.37</v>
      </c>
      <c r="J13" s="40">
        <v>5.43</v>
      </c>
      <c r="K13" s="41">
        <v>0.57999999999999996</v>
      </c>
      <c r="L13" s="6">
        <v>48.83</v>
      </c>
      <c r="M13" s="51">
        <v>32.79</v>
      </c>
    </row>
    <row r="14" spans="1:13" x14ac:dyDescent="0.25">
      <c r="A14" t="s">
        <v>132</v>
      </c>
      <c r="B14" t="s">
        <v>133</v>
      </c>
      <c r="C14" s="55">
        <v>15.92</v>
      </c>
      <c r="D14" s="55">
        <v>19.37</v>
      </c>
      <c r="F14" t="s">
        <v>61</v>
      </c>
      <c r="G14">
        <v>17.645</v>
      </c>
      <c r="H14" s="50">
        <v>136.54</v>
      </c>
      <c r="I14" s="39">
        <v>72.989999999999995</v>
      </c>
      <c r="J14" s="40">
        <v>8.14</v>
      </c>
      <c r="K14" s="41">
        <v>2.6</v>
      </c>
      <c r="L14" s="6">
        <v>45.03</v>
      </c>
      <c r="M14" s="51">
        <v>29.04</v>
      </c>
    </row>
    <row r="15" spans="1:13" x14ac:dyDescent="0.25">
      <c r="A15" t="s">
        <v>136</v>
      </c>
      <c r="B15" t="s">
        <v>137</v>
      </c>
      <c r="C15" s="55">
        <v>18.63</v>
      </c>
      <c r="D15" s="55">
        <v>22.35</v>
      </c>
      <c r="F15" t="s">
        <v>61</v>
      </c>
      <c r="G15">
        <v>20.490000000000002</v>
      </c>
      <c r="H15" s="50">
        <v>125.82</v>
      </c>
      <c r="I15" s="39">
        <v>71.180000000000007</v>
      </c>
      <c r="J15" s="40">
        <v>5.95</v>
      </c>
      <c r="K15" s="41">
        <v>2.19</v>
      </c>
      <c r="L15" s="6">
        <v>54.76</v>
      </c>
      <c r="M15" s="51">
        <v>39.619999999999997</v>
      </c>
    </row>
    <row r="16" spans="1:13" x14ac:dyDescent="0.25">
      <c r="A16" t="s">
        <v>139</v>
      </c>
      <c r="B16" t="s">
        <v>140</v>
      </c>
      <c r="C16" s="55">
        <v>16.97</v>
      </c>
      <c r="D16" s="55">
        <v>15.48</v>
      </c>
      <c r="F16" t="s">
        <v>61</v>
      </c>
      <c r="G16">
        <v>16.225000000000001</v>
      </c>
      <c r="H16">
        <v>126.29</v>
      </c>
      <c r="I16">
        <v>75.34</v>
      </c>
      <c r="J16">
        <v>4.74</v>
      </c>
      <c r="K16">
        <v>3.81</v>
      </c>
      <c r="L16">
        <v>47.63</v>
      </c>
      <c r="M16">
        <v>31.2</v>
      </c>
    </row>
    <row r="17" spans="1:13" x14ac:dyDescent="0.25">
      <c r="A17" t="s">
        <v>143</v>
      </c>
      <c r="B17" t="s">
        <v>144</v>
      </c>
      <c r="C17" s="55">
        <v>16.07</v>
      </c>
      <c r="D17" s="55">
        <v>14.51</v>
      </c>
      <c r="F17" t="s">
        <v>61</v>
      </c>
      <c r="G17">
        <v>15.29</v>
      </c>
      <c r="H17">
        <v>126.22</v>
      </c>
      <c r="I17">
        <v>73.3</v>
      </c>
      <c r="J17">
        <v>5.72</v>
      </c>
      <c r="K17">
        <v>7.81</v>
      </c>
      <c r="L17" s="6">
        <v>48.55</v>
      </c>
      <c r="M17">
        <v>27.4</v>
      </c>
    </row>
    <row r="18" spans="1:13" x14ac:dyDescent="0.25">
      <c r="A18" t="s">
        <v>145</v>
      </c>
      <c r="B18" t="s">
        <v>146</v>
      </c>
      <c r="C18" s="55">
        <v>14.66</v>
      </c>
      <c r="D18" s="55">
        <v>14.23</v>
      </c>
      <c r="F18" t="s">
        <v>61</v>
      </c>
      <c r="G18">
        <v>14.445</v>
      </c>
      <c r="H18">
        <v>137.27000000000001</v>
      </c>
      <c r="I18">
        <v>73.510000000000005</v>
      </c>
      <c r="J18">
        <v>6.24</v>
      </c>
      <c r="K18">
        <v>2.39</v>
      </c>
      <c r="L18">
        <v>47.95</v>
      </c>
      <c r="M18">
        <v>26.88</v>
      </c>
    </row>
    <row r="19" spans="1:13" x14ac:dyDescent="0.25">
      <c r="A19" t="s">
        <v>147</v>
      </c>
      <c r="B19" t="s">
        <v>144</v>
      </c>
      <c r="C19" s="55">
        <v>16.98</v>
      </c>
      <c r="D19" s="55">
        <v>10.43</v>
      </c>
      <c r="F19" t="s">
        <v>61</v>
      </c>
      <c r="G19">
        <v>13.705</v>
      </c>
      <c r="H19" s="50">
        <v>131.52000000000001</v>
      </c>
      <c r="I19" s="39">
        <v>67.86</v>
      </c>
      <c r="J19" s="40">
        <v>11.64</v>
      </c>
      <c r="K19" s="41">
        <v>3.32</v>
      </c>
      <c r="L19" s="6">
        <v>52.6</v>
      </c>
      <c r="M19" s="51">
        <v>36</v>
      </c>
    </row>
    <row r="20" spans="1:13" x14ac:dyDescent="0.25">
      <c r="A20" t="s">
        <v>149</v>
      </c>
      <c r="B20" t="s">
        <v>150</v>
      </c>
      <c r="C20" s="55">
        <v>25.03</v>
      </c>
      <c r="D20" s="55">
        <v>19.71</v>
      </c>
      <c r="F20" t="s">
        <v>61</v>
      </c>
      <c r="G20">
        <v>22.37</v>
      </c>
      <c r="H20" s="50">
        <v>127.51</v>
      </c>
      <c r="I20" s="39">
        <v>70.92</v>
      </c>
      <c r="J20" s="40">
        <v>6.91</v>
      </c>
      <c r="K20" s="41">
        <v>3.18</v>
      </c>
      <c r="L20" s="6">
        <v>59.27</v>
      </c>
      <c r="M20" s="51">
        <v>43.03</v>
      </c>
    </row>
    <row r="21" spans="1:13" x14ac:dyDescent="0.25">
      <c r="C21" s="56">
        <v>31.671238047459283</v>
      </c>
      <c r="D21" s="56">
        <v>23.475378348592052</v>
      </c>
      <c r="E21" s="57"/>
      <c r="F21" t="s">
        <v>61</v>
      </c>
      <c r="G21">
        <v>27.573308198025668</v>
      </c>
      <c r="H21" s="56">
        <v>138.15383332762181</v>
      </c>
      <c r="I21" s="56">
        <v>69.363383994012565</v>
      </c>
      <c r="J21" s="56">
        <v>5.8180745634743021</v>
      </c>
      <c r="K21" s="56">
        <v>2.5538514782876596</v>
      </c>
      <c r="L21" s="56">
        <v>46.831097097137864</v>
      </c>
      <c r="M21" s="56">
        <v>32.955114667590472</v>
      </c>
    </row>
    <row r="22" spans="1:13" x14ac:dyDescent="0.25">
      <c r="C22" s="56">
        <v>15.405663832402936</v>
      </c>
      <c r="D22" s="56">
        <v>15.359170029136028</v>
      </c>
      <c r="E22" s="57"/>
      <c r="F22" t="s">
        <v>61</v>
      </c>
      <c r="G22">
        <v>15.382416930769482</v>
      </c>
      <c r="H22" s="56">
        <v>129.06494508524389</v>
      </c>
      <c r="I22" s="56">
        <v>73.296494376296508</v>
      </c>
      <c r="J22" s="56">
        <v>6.8007635065640804</v>
      </c>
      <c r="K22" s="56">
        <v>2.6160986855412203</v>
      </c>
      <c r="L22" s="56">
        <v>47.925740595529518</v>
      </c>
      <c r="M22" s="56">
        <v>32.053967048903004</v>
      </c>
    </row>
    <row r="23" spans="1:13" x14ac:dyDescent="0.25">
      <c r="C23" s="56">
        <v>17.693555476105445</v>
      </c>
      <c r="D23" s="56">
        <v>18.724170995378994</v>
      </c>
      <c r="E23" s="57"/>
      <c r="F23" t="s">
        <v>61</v>
      </c>
      <c r="G23">
        <v>18.208863235742221</v>
      </c>
      <c r="H23" s="56">
        <v>133.00454705685257</v>
      </c>
      <c r="I23" s="56">
        <v>72.45330120301945</v>
      </c>
      <c r="J23" s="56">
        <v>8.7247485588402718</v>
      </c>
      <c r="K23" s="56">
        <v>6.3925302289483241</v>
      </c>
      <c r="L23" s="56">
        <v>50.030984652674292</v>
      </c>
      <c r="M23" s="56">
        <v>27.820704451267392</v>
      </c>
    </row>
    <row r="24" spans="1:13" x14ac:dyDescent="0.25">
      <c r="C24" s="56">
        <v>11.686236499416063</v>
      </c>
      <c r="D24" s="56">
        <v>18.493390051990705</v>
      </c>
      <c r="E24" s="57"/>
      <c r="F24" t="s">
        <v>61</v>
      </c>
      <c r="G24">
        <v>15.089813275703385</v>
      </c>
      <c r="H24" s="56">
        <v>131.19891840504582</v>
      </c>
      <c r="I24" s="56">
        <v>70.448775074385523</v>
      </c>
      <c r="J24" s="56">
        <v>7.4835796956231242</v>
      </c>
      <c r="K24" s="56">
        <v>6.1706069722494385</v>
      </c>
      <c r="L24" s="56">
        <v>50.943396797197003</v>
      </c>
      <c r="M24" s="56">
        <v>32.034588679704264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A5F94-73AE-4191-9A6D-1A0CD410E0C4}">
  <dimension ref="A1:M24"/>
  <sheetViews>
    <sheetView workbookViewId="0"/>
  </sheetViews>
  <sheetFormatPr baseColWidth="10" defaultRowHeight="15" x14ac:dyDescent="0.25"/>
  <cols>
    <col min="1" max="1" width="22.85546875" customWidth="1"/>
    <col min="3" max="4" width="11.42578125" style="1"/>
    <col min="8" max="8" width="11.42578125" style="2"/>
    <col min="9" max="9" width="11.42578125" style="3"/>
    <col min="10" max="10" width="11.42578125" style="4"/>
    <col min="11" max="11" width="11.42578125" style="5"/>
    <col min="12" max="12" width="11.42578125" style="6"/>
    <col min="13" max="13" width="11.42578125" style="7"/>
  </cols>
  <sheetData>
    <row r="1" spans="1:13" x14ac:dyDescent="0.25">
      <c r="A1" t="s">
        <v>0</v>
      </c>
      <c r="B1" t="s">
        <v>1</v>
      </c>
      <c r="C1" s="1" t="s">
        <v>25</v>
      </c>
      <c r="D1" s="1" t="s">
        <v>26</v>
      </c>
      <c r="F1" t="s">
        <v>66</v>
      </c>
      <c r="G1" t="s">
        <v>101</v>
      </c>
      <c r="H1" s="2" t="s">
        <v>31</v>
      </c>
      <c r="I1" s="3" t="s">
        <v>27</v>
      </c>
      <c r="J1" s="4" t="s">
        <v>28</v>
      </c>
      <c r="K1" s="5" t="s">
        <v>29</v>
      </c>
      <c r="L1" s="6" t="s">
        <v>30</v>
      </c>
      <c r="M1" s="7" t="s">
        <v>32</v>
      </c>
    </row>
    <row r="2" spans="1:13" x14ac:dyDescent="0.25">
      <c r="A2" t="s">
        <v>152</v>
      </c>
      <c r="B2" t="s">
        <v>2</v>
      </c>
      <c r="C2" s="8">
        <v>18.32</v>
      </c>
      <c r="D2" s="8">
        <v>18.09</v>
      </c>
      <c r="F2" t="s">
        <v>196</v>
      </c>
      <c r="G2">
        <v>18.204999999999998</v>
      </c>
      <c r="H2" s="2">
        <v>130.22</v>
      </c>
      <c r="I2" s="3">
        <v>87.83</v>
      </c>
      <c r="J2" s="9">
        <v>4.01</v>
      </c>
      <c r="K2" s="5">
        <v>4.1100000000000003</v>
      </c>
      <c r="L2" s="6">
        <v>50.43</v>
      </c>
      <c r="M2" s="7">
        <v>28.6</v>
      </c>
    </row>
    <row r="3" spans="1:13" x14ac:dyDescent="0.25">
      <c r="A3" t="s">
        <v>153</v>
      </c>
      <c r="B3" t="s">
        <v>3</v>
      </c>
      <c r="C3" s="8">
        <v>16.489999999999998</v>
      </c>
      <c r="D3" s="8">
        <v>17.36</v>
      </c>
      <c r="F3" t="s">
        <v>196</v>
      </c>
      <c r="G3">
        <v>16.924999999999997</v>
      </c>
      <c r="H3" s="2">
        <v>128.88999999999999</v>
      </c>
      <c r="I3" s="3">
        <v>102.87</v>
      </c>
      <c r="J3" s="9">
        <v>3.06</v>
      </c>
      <c r="K3" s="5">
        <v>2.82</v>
      </c>
      <c r="L3" s="6">
        <v>45.99</v>
      </c>
      <c r="M3" s="7">
        <v>27.24</v>
      </c>
    </row>
    <row r="4" spans="1:13" x14ac:dyDescent="0.25">
      <c r="A4" t="s">
        <v>154</v>
      </c>
      <c r="B4" t="s">
        <v>4</v>
      </c>
      <c r="C4" s="8">
        <v>17.739999999999998</v>
      </c>
      <c r="D4" s="8">
        <v>16.57</v>
      </c>
      <c r="F4" t="s">
        <v>196</v>
      </c>
      <c r="G4">
        <v>17.155000000000001</v>
      </c>
      <c r="H4" s="2">
        <v>118.07</v>
      </c>
      <c r="I4" s="3">
        <v>96.24</v>
      </c>
      <c r="J4" s="9">
        <v>6.07</v>
      </c>
      <c r="K4" s="5">
        <v>0.79</v>
      </c>
      <c r="L4" s="6">
        <v>44.43</v>
      </c>
      <c r="M4" s="7">
        <v>27.65</v>
      </c>
    </row>
    <row r="5" spans="1:13" x14ac:dyDescent="0.25">
      <c r="A5" t="s">
        <v>155</v>
      </c>
      <c r="B5" t="s">
        <v>5</v>
      </c>
      <c r="C5" s="8">
        <v>11.58</v>
      </c>
      <c r="D5" s="8">
        <v>10.23</v>
      </c>
      <c r="F5" t="s">
        <v>196</v>
      </c>
      <c r="G5">
        <v>10.905000000000001</v>
      </c>
      <c r="H5" s="2">
        <v>131.84</v>
      </c>
      <c r="I5" s="3">
        <v>93.49</v>
      </c>
      <c r="J5" s="9">
        <v>4.87</v>
      </c>
      <c r="K5" s="5">
        <v>1.95</v>
      </c>
      <c r="L5" s="6">
        <v>49.19</v>
      </c>
      <c r="M5" s="7">
        <v>28.1</v>
      </c>
    </row>
    <row r="6" spans="1:13" x14ac:dyDescent="0.25">
      <c r="A6" t="s">
        <v>156</v>
      </c>
      <c r="B6" t="s">
        <v>6</v>
      </c>
      <c r="C6" s="8">
        <v>25.02</v>
      </c>
      <c r="D6" s="8">
        <v>25.61</v>
      </c>
      <c r="F6" t="s">
        <v>196</v>
      </c>
      <c r="G6">
        <v>25.314999999999998</v>
      </c>
      <c r="H6" s="2">
        <v>140.83000000000001</v>
      </c>
      <c r="I6" s="3">
        <v>88.4</v>
      </c>
      <c r="J6" s="9">
        <v>4.3499999999999996</v>
      </c>
      <c r="K6" s="5">
        <v>3.23</v>
      </c>
      <c r="L6" s="6">
        <v>48.82</v>
      </c>
      <c r="M6" s="7">
        <v>34.36</v>
      </c>
    </row>
    <row r="7" spans="1:13" x14ac:dyDescent="0.25">
      <c r="A7" t="s">
        <v>157</v>
      </c>
      <c r="B7" t="s">
        <v>7</v>
      </c>
      <c r="C7" s="8">
        <v>11.46</v>
      </c>
      <c r="D7" s="8">
        <v>13.48</v>
      </c>
      <c r="F7" t="s">
        <v>196</v>
      </c>
      <c r="G7">
        <v>12.47</v>
      </c>
      <c r="H7" s="2">
        <v>120.64</v>
      </c>
      <c r="I7" s="3">
        <v>103.13</v>
      </c>
      <c r="J7" s="9">
        <v>4.4800000000000004</v>
      </c>
      <c r="K7" s="5">
        <v>1.84</v>
      </c>
      <c r="L7" s="6">
        <v>45.66</v>
      </c>
      <c r="M7" s="7">
        <v>28.52</v>
      </c>
    </row>
    <row r="8" spans="1:13" x14ac:dyDescent="0.25">
      <c r="A8" t="s">
        <v>158</v>
      </c>
      <c r="B8" t="s">
        <v>8</v>
      </c>
      <c r="C8" s="8">
        <v>21.61</v>
      </c>
      <c r="D8" s="8">
        <v>19.7</v>
      </c>
      <c r="F8" t="s">
        <v>196</v>
      </c>
      <c r="G8">
        <v>20.655000000000001</v>
      </c>
      <c r="H8" s="2">
        <v>136.80000000000001</v>
      </c>
      <c r="I8" s="3">
        <v>94.39</v>
      </c>
      <c r="J8" s="9">
        <v>1.06</v>
      </c>
      <c r="K8" s="5">
        <v>2.96</v>
      </c>
      <c r="L8" s="6">
        <v>44.43</v>
      </c>
      <c r="M8" s="7">
        <v>28.55</v>
      </c>
    </row>
    <row r="9" spans="1:13" x14ac:dyDescent="0.25">
      <c r="A9" t="s">
        <v>159</v>
      </c>
      <c r="B9" t="s">
        <v>9</v>
      </c>
      <c r="C9" s="8">
        <v>9.4700000000000006</v>
      </c>
      <c r="D9" s="8">
        <v>6.39</v>
      </c>
      <c r="F9" t="s">
        <v>196</v>
      </c>
      <c r="G9">
        <v>7.93</v>
      </c>
      <c r="H9" s="2">
        <v>125.02</v>
      </c>
      <c r="I9" s="3">
        <v>108.46</v>
      </c>
      <c r="J9" s="9">
        <v>6.62</v>
      </c>
      <c r="K9" s="5">
        <v>3.32</v>
      </c>
      <c r="L9" s="6">
        <v>48.87</v>
      </c>
      <c r="M9" s="7">
        <v>31.91</v>
      </c>
    </row>
    <row r="10" spans="1:13" x14ac:dyDescent="0.25">
      <c r="A10" t="s">
        <v>160</v>
      </c>
      <c r="B10" t="s">
        <v>10</v>
      </c>
      <c r="C10" s="8">
        <v>20.93</v>
      </c>
      <c r="D10" s="8">
        <v>17.5</v>
      </c>
      <c r="F10" t="s">
        <v>196</v>
      </c>
      <c r="G10">
        <v>19.215</v>
      </c>
      <c r="H10" s="2">
        <v>131.46</v>
      </c>
      <c r="I10" s="3">
        <v>93.2</v>
      </c>
      <c r="J10" s="9">
        <v>2.52</v>
      </c>
      <c r="K10" s="5">
        <v>1.27</v>
      </c>
      <c r="L10" s="6">
        <v>45.65</v>
      </c>
      <c r="M10" s="7">
        <v>36.979999999999997</v>
      </c>
    </row>
    <row r="11" spans="1:13" x14ac:dyDescent="0.25">
      <c r="A11" t="s">
        <v>161</v>
      </c>
      <c r="B11" t="s">
        <v>11</v>
      </c>
      <c r="C11" s="8">
        <v>15.24</v>
      </c>
      <c r="D11" s="8">
        <v>23.71</v>
      </c>
      <c r="F11" t="s">
        <v>196</v>
      </c>
      <c r="G11">
        <v>19.475000000000001</v>
      </c>
      <c r="H11" s="2">
        <v>124.96</v>
      </c>
      <c r="I11" s="3">
        <v>89.34</v>
      </c>
      <c r="J11" s="9">
        <v>3.97</v>
      </c>
      <c r="K11" s="5">
        <v>1.38</v>
      </c>
      <c r="L11" s="6">
        <v>49.18</v>
      </c>
      <c r="M11" s="7">
        <v>32.5</v>
      </c>
    </row>
    <row r="12" spans="1:13" x14ac:dyDescent="0.25">
      <c r="A12" t="s">
        <v>162</v>
      </c>
      <c r="B12" t="s">
        <v>12</v>
      </c>
      <c r="C12" s="8">
        <v>11.1</v>
      </c>
      <c r="D12" s="8">
        <v>12.93</v>
      </c>
      <c r="F12" t="s">
        <v>196</v>
      </c>
      <c r="G12">
        <v>12.015000000000001</v>
      </c>
      <c r="H12" s="2">
        <v>136.18</v>
      </c>
      <c r="I12" s="3">
        <v>89.71</v>
      </c>
      <c r="J12" s="9">
        <v>4.87</v>
      </c>
      <c r="K12" s="5">
        <v>2.58</v>
      </c>
      <c r="L12" s="6">
        <v>43.33</v>
      </c>
      <c r="M12" s="7">
        <v>30.94</v>
      </c>
    </row>
    <row r="13" spans="1:13" x14ac:dyDescent="0.25">
      <c r="A13" t="s">
        <v>163</v>
      </c>
      <c r="B13" t="s">
        <v>13</v>
      </c>
      <c r="C13" s="8">
        <v>15.28</v>
      </c>
      <c r="D13" s="8">
        <v>17.43</v>
      </c>
      <c r="F13" t="s">
        <v>196</v>
      </c>
      <c r="G13">
        <v>16.355</v>
      </c>
      <c r="H13" s="2">
        <v>131.4</v>
      </c>
      <c r="I13" s="3">
        <v>89.36</v>
      </c>
      <c r="J13" s="9">
        <v>1.78</v>
      </c>
      <c r="K13" s="5">
        <v>0.18</v>
      </c>
      <c r="L13" s="6">
        <v>46.27</v>
      </c>
      <c r="M13" s="7">
        <v>31.21</v>
      </c>
    </row>
    <row r="14" spans="1:13" x14ac:dyDescent="0.25">
      <c r="A14" t="s">
        <v>164</v>
      </c>
      <c r="B14" t="s">
        <v>14</v>
      </c>
      <c r="C14" s="8">
        <v>18.84</v>
      </c>
      <c r="D14" s="8">
        <v>18.28</v>
      </c>
      <c r="F14" t="s">
        <v>196</v>
      </c>
      <c r="G14">
        <v>18.560000000000002</v>
      </c>
      <c r="H14" s="2">
        <v>127.16</v>
      </c>
      <c r="I14" s="3">
        <v>90.61</v>
      </c>
      <c r="J14" s="9">
        <v>1.71</v>
      </c>
      <c r="K14" s="5">
        <v>0.57999999999999996</v>
      </c>
      <c r="L14" s="6">
        <v>49.36</v>
      </c>
      <c r="M14" s="7">
        <v>26.72</v>
      </c>
    </row>
    <row r="15" spans="1:13" x14ac:dyDescent="0.25">
      <c r="A15" t="s">
        <v>165</v>
      </c>
      <c r="B15" t="s">
        <v>15</v>
      </c>
      <c r="C15" s="8">
        <v>13.44</v>
      </c>
      <c r="D15" s="8">
        <v>11.59</v>
      </c>
      <c r="F15" t="s">
        <v>196</v>
      </c>
      <c r="G15">
        <v>12.515000000000001</v>
      </c>
      <c r="H15" s="2">
        <v>117.68</v>
      </c>
      <c r="I15" s="3">
        <v>92.07</v>
      </c>
      <c r="J15" s="9">
        <v>2.39</v>
      </c>
      <c r="K15" s="5">
        <v>2.63</v>
      </c>
      <c r="L15" s="6">
        <v>49.71</v>
      </c>
      <c r="M15" s="7">
        <v>31.62</v>
      </c>
    </row>
    <row r="16" spans="1:13" x14ac:dyDescent="0.25">
      <c r="A16" t="s">
        <v>166</v>
      </c>
      <c r="B16" t="s">
        <v>16</v>
      </c>
      <c r="C16" s="8">
        <v>5.76</v>
      </c>
      <c r="D16" s="8">
        <v>6.22</v>
      </c>
      <c r="F16" t="s">
        <v>196</v>
      </c>
      <c r="G16">
        <v>5.99</v>
      </c>
      <c r="H16" s="2">
        <v>122.34</v>
      </c>
      <c r="I16" s="3">
        <v>101.04</v>
      </c>
      <c r="J16" s="9">
        <v>3.03</v>
      </c>
      <c r="K16" s="5">
        <v>3.98</v>
      </c>
      <c r="L16" s="6">
        <v>47.38</v>
      </c>
      <c r="M16" s="7">
        <v>29.21</v>
      </c>
    </row>
    <row r="17" spans="1:13" x14ac:dyDescent="0.25">
      <c r="A17" t="s">
        <v>167</v>
      </c>
      <c r="B17" t="s">
        <v>17</v>
      </c>
      <c r="C17" s="8">
        <v>15.15</v>
      </c>
      <c r="D17" s="8">
        <v>23.58</v>
      </c>
      <c r="F17" t="s">
        <v>196</v>
      </c>
      <c r="G17">
        <v>19.364999999999998</v>
      </c>
      <c r="H17" s="2">
        <v>131.01</v>
      </c>
      <c r="I17" s="3">
        <v>88.68</v>
      </c>
      <c r="J17" s="9">
        <v>6.73</v>
      </c>
      <c r="K17" s="5">
        <v>0.19</v>
      </c>
      <c r="L17" s="6">
        <v>47.45</v>
      </c>
      <c r="M17" s="7">
        <v>29.55</v>
      </c>
    </row>
    <row r="18" spans="1:13" x14ac:dyDescent="0.25">
      <c r="A18" t="s">
        <v>168</v>
      </c>
      <c r="B18" t="s">
        <v>18</v>
      </c>
      <c r="C18" s="8">
        <v>12.21</v>
      </c>
      <c r="D18" s="8">
        <v>10.07</v>
      </c>
      <c r="F18" t="s">
        <v>196</v>
      </c>
      <c r="G18">
        <v>11.14</v>
      </c>
      <c r="H18" s="2">
        <v>125.48</v>
      </c>
      <c r="I18" s="3">
        <v>95.04</v>
      </c>
      <c r="J18" s="9">
        <v>1.26</v>
      </c>
      <c r="K18" s="5">
        <v>1.47</v>
      </c>
      <c r="L18" s="6">
        <v>47.64</v>
      </c>
      <c r="M18" s="7">
        <v>29.67</v>
      </c>
    </row>
    <row r="19" spans="1:13" x14ac:dyDescent="0.25">
      <c r="A19" t="s">
        <v>169</v>
      </c>
      <c r="B19" t="s">
        <v>19</v>
      </c>
      <c r="C19" s="8">
        <v>17</v>
      </c>
      <c r="D19" s="8">
        <v>13.87</v>
      </c>
      <c r="F19" t="s">
        <v>196</v>
      </c>
      <c r="G19">
        <v>15.434999999999999</v>
      </c>
      <c r="H19" s="2">
        <v>129.19</v>
      </c>
      <c r="I19" s="3">
        <v>100.27</v>
      </c>
      <c r="J19" s="9">
        <v>4.2300000000000004</v>
      </c>
      <c r="K19" s="5">
        <v>4.88</v>
      </c>
      <c r="L19" s="6">
        <v>45.82</v>
      </c>
      <c r="M19" s="7">
        <v>28.26</v>
      </c>
    </row>
    <row r="20" spans="1:13" x14ac:dyDescent="0.25">
      <c r="A20" t="s">
        <v>170</v>
      </c>
      <c r="B20" t="s">
        <v>20</v>
      </c>
      <c r="C20" s="8">
        <v>17.260000000000002</v>
      </c>
      <c r="D20" s="8">
        <v>20.11</v>
      </c>
      <c r="F20" t="s">
        <v>196</v>
      </c>
      <c r="G20">
        <v>18.685000000000002</v>
      </c>
      <c r="H20" s="2">
        <v>133.79</v>
      </c>
      <c r="I20" s="3">
        <v>102.32</v>
      </c>
      <c r="J20" s="9">
        <v>1.49</v>
      </c>
      <c r="K20" s="5">
        <v>10.44</v>
      </c>
      <c r="L20" s="6">
        <v>46.79</v>
      </c>
      <c r="M20" s="7">
        <v>33.08</v>
      </c>
    </row>
    <row r="21" spans="1:13" x14ac:dyDescent="0.25">
      <c r="A21" t="s">
        <v>171</v>
      </c>
      <c r="B21" t="s">
        <v>21</v>
      </c>
      <c r="C21" s="8">
        <v>13.8</v>
      </c>
      <c r="D21" s="8">
        <v>16.579999999999998</v>
      </c>
      <c r="F21" t="s">
        <v>196</v>
      </c>
      <c r="G21">
        <v>15.19</v>
      </c>
      <c r="H21" s="2">
        <v>127.82</v>
      </c>
      <c r="I21" s="3">
        <v>96.68</v>
      </c>
      <c r="J21" s="9">
        <v>2.46</v>
      </c>
      <c r="K21" s="5">
        <v>2.8</v>
      </c>
      <c r="L21" s="6">
        <v>51.21</v>
      </c>
      <c r="M21" s="7">
        <v>31.96</v>
      </c>
    </row>
    <row r="22" spans="1:13" x14ac:dyDescent="0.25">
      <c r="A22" t="s">
        <v>172</v>
      </c>
      <c r="B22" t="s">
        <v>22</v>
      </c>
      <c r="C22" s="8">
        <v>17.64</v>
      </c>
      <c r="D22" s="8">
        <v>19.5</v>
      </c>
      <c r="F22" t="s">
        <v>196</v>
      </c>
      <c r="G22">
        <v>18.57</v>
      </c>
      <c r="H22" s="2">
        <v>127.17</v>
      </c>
      <c r="I22" s="3">
        <v>93.8</v>
      </c>
      <c r="J22" s="9">
        <v>1.88</v>
      </c>
      <c r="K22" s="5">
        <v>3.43</v>
      </c>
      <c r="L22" s="6">
        <v>51.33</v>
      </c>
      <c r="M22" s="7">
        <v>34.82</v>
      </c>
    </row>
    <row r="23" spans="1:13" x14ac:dyDescent="0.25">
      <c r="A23" t="s">
        <v>173</v>
      </c>
      <c r="B23" t="s">
        <v>23</v>
      </c>
      <c r="C23" s="8">
        <v>14.58</v>
      </c>
      <c r="D23" s="8">
        <v>19.899999999999999</v>
      </c>
      <c r="F23" t="s">
        <v>196</v>
      </c>
      <c r="G23">
        <v>17.239999999999998</v>
      </c>
      <c r="H23" s="2">
        <v>133.35</v>
      </c>
      <c r="I23" s="3">
        <v>90.92</v>
      </c>
      <c r="J23" s="9">
        <v>5.91</v>
      </c>
      <c r="K23" s="5">
        <v>0.42</v>
      </c>
      <c r="L23" s="6">
        <v>49.75</v>
      </c>
      <c r="M23" s="7">
        <v>32.909999999999997</v>
      </c>
    </row>
    <row r="24" spans="1:13" x14ac:dyDescent="0.25">
      <c r="A24" t="s">
        <v>174</v>
      </c>
      <c r="B24" t="s">
        <v>24</v>
      </c>
      <c r="C24" s="8">
        <v>9.2100000000000009</v>
      </c>
      <c r="D24" s="8">
        <v>12.45</v>
      </c>
      <c r="F24" t="s">
        <v>196</v>
      </c>
      <c r="G24">
        <v>10.83</v>
      </c>
      <c r="H24" s="2">
        <v>123.47</v>
      </c>
      <c r="I24" s="3">
        <v>89.25</v>
      </c>
      <c r="J24" s="9">
        <v>4.6500000000000004</v>
      </c>
      <c r="K24" s="5">
        <v>1.08</v>
      </c>
      <c r="L24" s="6">
        <v>45.8</v>
      </c>
      <c r="M24" s="7">
        <v>27.59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resultadso</vt:lpstr>
      <vt:lpstr>coprrelaciones</vt:lpstr>
      <vt:lpstr>objetivos</vt:lpstr>
      <vt:lpstr>BASE COMPRACIONES</vt:lpstr>
      <vt:lpstr>CLASE I NUEVO</vt:lpstr>
      <vt:lpstr>CLASE II NUEVO</vt:lpstr>
      <vt:lpstr>calse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 MARCELA FLOREZ R</dc:creator>
  <cp:lastModifiedBy>Yuly  Florez</cp:lastModifiedBy>
  <dcterms:created xsi:type="dcterms:W3CDTF">2024-09-05T01:57:56Z</dcterms:created>
  <dcterms:modified xsi:type="dcterms:W3CDTF">2025-06-09T17:53:23Z</dcterms:modified>
</cp:coreProperties>
</file>