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namericana\Documents\1unicoc\2023\INVESTIGACIONES\sanchez paez\"/>
    </mc:Choice>
  </mc:AlternateContent>
  <xr:revisionPtr revIDLastSave="0" documentId="8_{D522F226-4094-41D8-8A4A-3D508EEC6379}" xr6:coauthVersionLast="47" xr6:coauthVersionMax="47" xr10:uidLastSave="{00000000-0000-0000-0000-000000000000}"/>
  <bookViews>
    <workbookView xWindow="-120" yWindow="-120" windowWidth="20730" windowHeight="11040" xr2:uid="{882D490E-F54C-4F66-B418-7BD316BF1C9D}"/>
  </bookViews>
  <sheets>
    <sheet name="resultados" sheetId="6" r:id="rId1"/>
    <sheet name="BASE" sheetId="4" r:id="rId2"/>
    <sheet name="OBJETIVOS" sheetId="5" r:id="rId3"/>
    <sheet name="Hoja1" sheetId="1" r:id="rId4"/>
    <sheet name="Hoja2" sheetId="2" r:id="rId5"/>
    <sheet name="Hoja3" sheetId="3" r:id="rId6"/>
  </sheets>
  <externalReferences>
    <externalReference r:id="rId7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34" i="4" l="1"/>
  <c r="Z34" i="4"/>
  <c r="AA34" i="4"/>
  <c r="AC34" i="4"/>
  <c r="AD34" i="4"/>
  <c r="Y35" i="4"/>
  <c r="Z35" i="4"/>
  <c r="AA35" i="4"/>
  <c r="AC35" i="4"/>
  <c r="AD35" i="4"/>
  <c r="AD33" i="4"/>
  <c r="AC33" i="4"/>
  <c r="AA33" i="4"/>
  <c r="Z33" i="4"/>
  <c r="Y33" i="4"/>
  <c r="X35" i="4"/>
  <c r="W35" i="4"/>
  <c r="V35" i="4"/>
  <c r="U35" i="4"/>
  <c r="X34" i="4"/>
  <c r="W34" i="4"/>
  <c r="V34" i="4"/>
  <c r="U34" i="4"/>
  <c r="X33" i="4"/>
  <c r="W33" i="4"/>
  <c r="V33" i="4"/>
  <c r="U33" i="4"/>
  <c r="Y30" i="4"/>
  <c r="X30" i="4"/>
  <c r="W30" i="4"/>
  <c r="X29" i="4"/>
  <c r="W29" i="4"/>
  <c r="V29" i="4"/>
  <c r="U29" i="4"/>
  <c r="X28" i="4"/>
  <c r="W28" i="4"/>
  <c r="V28" i="4"/>
  <c r="U28" i="4"/>
  <c r="X27" i="4"/>
  <c r="W27" i="4"/>
  <c r="V27" i="4"/>
  <c r="U27" i="4"/>
  <c r="N37" i="4"/>
  <c r="M37" i="4"/>
  <c r="M36" i="4" s="1"/>
  <c r="N36" i="4" s="1"/>
  <c r="L37" i="4"/>
  <c r="L35" i="4" s="1"/>
  <c r="L36" i="4"/>
  <c r="M35" i="4"/>
  <c r="P31" i="4"/>
  <c r="O31" i="4"/>
  <c r="N31" i="4"/>
  <c r="M31" i="4"/>
  <c r="L31" i="4"/>
  <c r="K31" i="4"/>
  <c r="P30" i="4"/>
  <c r="O30" i="4"/>
  <c r="N30" i="4"/>
  <c r="M30" i="4"/>
  <c r="L30" i="4"/>
  <c r="K30" i="4"/>
  <c r="P29" i="4"/>
  <c r="O29" i="4"/>
  <c r="N29" i="4"/>
  <c r="M29" i="4"/>
  <c r="L29" i="4"/>
  <c r="K29" i="4"/>
  <c r="R4" i="4"/>
  <c r="S4" i="4"/>
  <c r="Q4" i="4"/>
  <c r="M13" i="4"/>
  <c r="M12" i="4" s="1" a="1"/>
  <c r="M12" i="4" s="1"/>
  <c r="N13" i="4"/>
  <c r="N12" i="4" s="1" a="1"/>
  <c r="N12" i="4" s="1"/>
  <c r="M14" i="4"/>
  <c r="M7" i="4" s="1"/>
  <c r="N14" i="4"/>
  <c r="N7" i="4" s="1"/>
  <c r="M15" i="4"/>
  <c r="N15" i="4"/>
  <c r="N16" i="4" s="1" a="1"/>
  <c r="N16" i="4" s="1"/>
  <c r="N9" i="4" s="1"/>
  <c r="M17" i="4"/>
  <c r="N17" i="4"/>
  <c r="L17" i="4"/>
  <c r="L16" i="4" a="1"/>
  <c r="L16" i="4" s="1"/>
  <c r="L9" i="4" s="1"/>
  <c r="L15" i="4"/>
  <c r="L8" i="4" s="1"/>
  <c r="L14" i="4"/>
  <c r="L7" i="4" s="1"/>
  <c r="L13" i="4"/>
  <c r="L12" i="4" s="1" a="1"/>
  <c r="L12" i="4" s="1"/>
  <c r="M4" i="4"/>
  <c r="N4" i="4"/>
  <c r="L4" i="4"/>
  <c r="H5" i="4"/>
  <c r="I5" i="4"/>
  <c r="H6" i="4"/>
  <c r="I6" i="4"/>
  <c r="H7" i="4"/>
  <c r="I7" i="4"/>
  <c r="H8" i="4"/>
  <c r="I8" i="4"/>
  <c r="H9" i="4"/>
  <c r="I9" i="4"/>
  <c r="H10" i="4"/>
  <c r="I10" i="4"/>
  <c r="H11" i="4"/>
  <c r="I11" i="4"/>
  <c r="H12" i="4"/>
  <c r="I12" i="4"/>
  <c r="H14" i="4"/>
  <c r="H13" i="4" s="1"/>
  <c r="I14" i="4"/>
  <c r="I13" i="4" s="1"/>
  <c r="H15" i="4"/>
  <c r="I15" i="4"/>
  <c r="H16" i="4"/>
  <c r="I16" i="4"/>
  <c r="H17" i="4"/>
  <c r="I17" i="4"/>
  <c r="H18" i="4"/>
  <c r="I18" i="4"/>
  <c r="H19" i="4"/>
  <c r="I19" i="4"/>
  <c r="H20" i="4"/>
  <c r="I20" i="4"/>
  <c r="G20" i="4"/>
  <c r="G19" i="4"/>
  <c r="G18" i="4"/>
  <c r="G17" i="4"/>
  <c r="G16" i="4"/>
  <c r="G15" i="4"/>
  <c r="G14" i="4"/>
  <c r="G13" i="4" s="1"/>
  <c r="G12" i="4"/>
  <c r="G11" i="4"/>
  <c r="G10" i="4"/>
  <c r="G9" i="4"/>
  <c r="G8" i="4"/>
  <c r="G7" i="4"/>
  <c r="G6" i="4"/>
  <c r="G5" i="4"/>
  <c r="H4" i="4"/>
  <c r="I4" i="4"/>
  <c r="G4" i="4"/>
  <c r="AB35" i="4"/>
  <c r="AB34" i="4"/>
  <c r="AB33" i="4"/>
  <c r="Z30" i="4"/>
  <c r="R12" i="4"/>
  <c r="S12" i="4"/>
  <c r="R13" i="4"/>
  <c r="S13" i="4"/>
  <c r="Q13" i="4"/>
  <c r="Q12" i="4"/>
  <c r="R5" i="4"/>
  <c r="S5" i="4"/>
  <c r="R6" i="4"/>
  <c r="S6" i="4"/>
  <c r="Q6" i="4"/>
  <c r="Q5" i="4"/>
  <c r="H21" i="4"/>
  <c r="H22" i="4"/>
  <c r="I22" i="4"/>
  <c r="I21" i="4"/>
  <c r="G22" i="4"/>
  <c r="G21" i="4"/>
  <c r="Q29" i="4" l="1"/>
  <c r="S29" i="4" s="1"/>
  <c r="Q30" i="4"/>
  <c r="R30" i="4" s="1"/>
  <c r="R35" i="4"/>
  <c r="Q31" i="4"/>
  <c r="R31" i="4" s="1"/>
  <c r="Q35" i="4"/>
  <c r="N35" i="4"/>
  <c r="O35" i="4" s="1"/>
  <c r="P35" i="4" s="1"/>
  <c r="S35" i="4"/>
  <c r="R29" i="4"/>
  <c r="S30" i="4"/>
  <c r="S31" i="4"/>
  <c r="Q8" i="4"/>
  <c r="Q15" i="4"/>
  <c r="M6" i="4"/>
  <c r="L6" i="4"/>
  <c r="N8" i="4"/>
  <c r="M16" i="4" a="1"/>
  <c r="M16" i="4" s="1"/>
  <c r="M9" i="4" s="1"/>
  <c r="M8" i="4"/>
  <c r="N6" i="4"/>
  <c r="S15" i="4"/>
  <c r="R15" i="4"/>
  <c r="S8" i="4"/>
  <c r="R8" i="4"/>
  <c r="L19" i="4"/>
  <c r="M10" i="4" s="1"/>
  <c r="N5" i="4" l="1"/>
  <c r="L5" i="4"/>
  <c r="N10" i="4"/>
  <c r="L10" i="4"/>
  <c r="M5" i="4"/>
</calcChain>
</file>

<file path=xl/sharedStrings.xml><?xml version="1.0" encoding="utf-8"?>
<sst xmlns="http://schemas.openxmlformats.org/spreadsheetml/2006/main" count="224" uniqueCount="155">
  <si>
    <t>PLAN DE ANALISIS</t>
  </si>
  <si>
    <t>PRUEBA</t>
  </si>
  <si>
    <t>OBJETIVO</t>
  </si>
  <si>
    <t>ANALISIS EXPLORATORIO DE DATOS</t>
  </si>
  <si>
    <t>DESCRIBIR LA MUESTRA</t>
  </si>
  <si>
    <t>SHAPIRO WILK</t>
  </si>
  <si>
    <t>DETERMINAR SI LOS DATOS PRESENTAN DISTRIBUCION NORMAL</t>
  </si>
  <si>
    <t>n</t>
  </si>
  <si>
    <t>Mean (N)</t>
  </si>
  <si>
    <t>Standard Error</t>
  </si>
  <si>
    <t>Median</t>
  </si>
  <si>
    <t>Maximum</t>
  </si>
  <si>
    <t>Minimum</t>
  </si>
  <si>
    <t>IQR</t>
  </si>
  <si>
    <t>SW p-value</t>
  </si>
  <si>
    <t>ANOVA: Single Factor</t>
  </si>
  <si>
    <t>TUKEY Q TEST</t>
  </si>
  <si>
    <t>ANOVA</t>
  </si>
  <si>
    <t>DETERMINAR SI HAY DIFERENCIA ENTRE LOS TRES GRUPOS</t>
  </si>
  <si>
    <t>DISILICATO</t>
  </si>
  <si>
    <t>group 1</t>
  </si>
  <si>
    <t>group 2</t>
  </si>
  <si>
    <t>mean</t>
  </si>
  <si>
    <t>p-value</t>
  </si>
  <si>
    <t>POS HOC TUKEY</t>
  </si>
  <si>
    <t>UBICAR LA DIFERENCIA</t>
  </si>
  <si>
    <t>PMMA</t>
  </si>
  <si>
    <t>Sotware</t>
  </si>
  <si>
    <t>RESINA</t>
  </si>
  <si>
    <t>Real statitistics V.9.1  que es el mismo R parea Excel.</t>
  </si>
  <si>
    <t>[N]</t>
  </si>
  <si>
    <t>Descriptive Statistics</t>
  </si>
  <si>
    <t>Multiplier</t>
  </si>
  <si>
    <t>Shapiro-Wilk Test</t>
  </si>
  <si>
    <t>Mean</t>
  </si>
  <si>
    <t>Min</t>
  </si>
  <si>
    <t>W-stat</t>
  </si>
  <si>
    <t>Q1-Min</t>
  </si>
  <si>
    <t>Med-Q1</t>
  </si>
  <si>
    <t>alpha</t>
  </si>
  <si>
    <t>Mode</t>
  </si>
  <si>
    <t>Q3-Med</t>
  </si>
  <si>
    <t>normal</t>
  </si>
  <si>
    <t>Standard Deviation</t>
  </si>
  <si>
    <t>Max-Q3</t>
  </si>
  <si>
    <t>Sample Variance</t>
  </si>
  <si>
    <t>d'Agostino-Pearson</t>
  </si>
  <si>
    <t>Kurtosis</t>
  </si>
  <si>
    <t>Skewness</t>
  </si>
  <si>
    <t>DA-stat</t>
  </si>
  <si>
    <t>Range</t>
  </si>
  <si>
    <t>Q1</t>
  </si>
  <si>
    <t>Q3</t>
  </si>
  <si>
    <t>Sum</t>
  </si>
  <si>
    <t>Max</t>
  </si>
  <si>
    <t>Count</t>
  </si>
  <si>
    <t>Geometric Mean</t>
  </si>
  <si>
    <t>Harmonic Mean</t>
  </si>
  <si>
    <t>Grand Min</t>
  </si>
  <si>
    <t>AAD</t>
  </si>
  <si>
    <t>MAD</t>
  </si>
  <si>
    <t>Outliers</t>
  </si>
  <si>
    <t>None</t>
  </si>
  <si>
    <t>TUKEY HSD/KRAMER</t>
  </si>
  <si>
    <t>group</t>
  </si>
  <si>
    <t>ss</t>
  </si>
  <si>
    <t>df</t>
  </si>
  <si>
    <t>q-crit</t>
  </si>
  <si>
    <t>DESCRIPTION</t>
  </si>
  <si>
    <t>Alpha</t>
  </si>
  <si>
    <t>Group</t>
  </si>
  <si>
    <t>Variance</t>
  </si>
  <si>
    <t>SS</t>
  </si>
  <si>
    <t>Std Err</t>
  </si>
  <si>
    <t>Lower</t>
  </si>
  <si>
    <t>Upper</t>
  </si>
  <si>
    <t>Q TEST</t>
  </si>
  <si>
    <t>std err</t>
  </si>
  <si>
    <t>q-stat</t>
  </si>
  <si>
    <t>lower</t>
  </si>
  <si>
    <t>upper</t>
  </si>
  <si>
    <t>mean-crit</t>
  </si>
  <si>
    <t>Cohen d</t>
  </si>
  <si>
    <t>Sources</t>
  </si>
  <si>
    <t>MS</t>
  </si>
  <si>
    <t>F</t>
  </si>
  <si>
    <t>P value</t>
  </si>
  <si>
    <t>Eta-sq</t>
  </si>
  <si>
    <t>RMSSE</t>
  </si>
  <si>
    <t>Omega Sq</t>
  </si>
  <si>
    <t>Between Groups</t>
  </si>
  <si>
    <t>Within Groups</t>
  </si>
  <si>
    <t>Total</t>
  </si>
  <si>
    <t xml:space="preserve">      Objetivo General 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</si>
  <si>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Arial"/>
        <family val="2"/>
      </rPr>
      <t>Determinar la resistencia a la fractura de tres materiales libres de metal para la elaboración de endocoronas en molares.</t>
    </r>
  </si>
  <si>
    <r>
      <t xml:space="preserve"> </t>
    </r>
    <r>
      <rPr>
        <b/>
        <sz val="12"/>
        <color theme="1"/>
        <rFont val="Arial"/>
        <family val="2"/>
      </rPr>
      <t>Objetivos Específicos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</si>
  <si>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Arial"/>
        <family val="2"/>
      </rPr>
      <t>Establecer la resistencia compresiva de tres materiales libres de metal para la elaboración de endocoronas en molares.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</si>
  <si>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Arial"/>
        <family val="2"/>
      </rPr>
      <t>Determinar cuál de los materiales estudiados tiene la mayor resistencia a la fractura después de ser sometidos a una fuerza compresiva en una máquina de test universal.</t>
    </r>
  </si>
  <si>
    <t>disilicato</t>
  </si>
  <si>
    <t>Máximo Carga</t>
  </si>
  <si>
    <t>1 1801,66541</t>
  </si>
  <si>
    <t>2 2073,02344</t>
  </si>
  <si>
    <t>3 2185,38159</t>
  </si>
  <si>
    <t>4 1825,86108</t>
  </si>
  <si>
    <t>5 1488,04797</t>
  </si>
  <si>
    <t>6 1211,90674</t>
  </si>
  <si>
    <t>LABORATORIO DE INVESTIGACION EN BIOMATERIALES UniCIEO</t>
  </si>
  <si>
    <t>7 1184,19556</t>
  </si>
  <si>
    <t>8 1573,10913</t>
  </si>
  <si>
    <t>9 1627,59558</t>
  </si>
  <si>
    <t>10 2024,15796</t>
  </si>
  <si>
    <t>11 1831,19421</t>
  </si>
  <si>
    <t>12 1975,72888</t>
  </si>
  <si>
    <t>13 2079,57495</t>
  </si>
  <si>
    <t>14 1399,67432</t>
  </si>
  <si>
    <t>15 1137,02026</t>
  </si>
  <si>
    <t>16 1586,28748</t>
  </si>
  <si>
    <t>17 1546,15442</t>
  </si>
  <si>
    <t>18 1778,91101</t>
  </si>
  <si>
    <t>1 1287,44482</t>
  </si>
  <si>
    <t>2 1442,21423</t>
  </si>
  <si>
    <t>3 1729,62292</t>
  </si>
  <si>
    <t>4 1784,25330</t>
  </si>
  <si>
    <t>5 1653,04919</t>
  </si>
  <si>
    <t>6 1364,97925</t>
  </si>
  <si>
    <t>7 1508,82751</t>
  </si>
  <si>
    <t>8 1252,57617</t>
  </si>
  <si>
    <t>9 1504,28040</t>
  </si>
  <si>
    <t>10 1429,43481</t>
  </si>
  <si>
    <t>11 1421,81580</t>
  </si>
  <si>
    <t>12 1048,72388</t>
  </si>
  <si>
    <t>13 1073,12378</t>
  </si>
  <si>
    <t>14 1276,55505</t>
  </si>
  <si>
    <t>15 1363,92041</t>
  </si>
  <si>
    <t>16 1531,63550</t>
  </si>
  <si>
    <t>17 1573,40466</t>
  </si>
  <si>
    <t>18 1267,42969</t>
  </si>
  <si>
    <t>1 1766,47107</t>
  </si>
  <si>
    <t>2 1190,83936</t>
  </si>
  <si>
    <t>3 1300,19714</t>
  </si>
  <si>
    <t>4 1276,61401</t>
  </si>
  <si>
    <t>5 1595,59143</t>
  </si>
  <si>
    <t>6 1031,96802</t>
  </si>
  <si>
    <t>7 1430,64490</t>
  </si>
  <si>
    <t>8 1665,03381</t>
  </si>
  <si>
    <t>9 1658,82239</t>
  </si>
  <si>
    <t>10 1471,07739</t>
  </si>
  <si>
    <t>11 1426,03320</t>
  </si>
  <si>
    <t>12 1674,74927</t>
  </si>
  <si>
    <t>13 1911,26416</t>
  </si>
  <si>
    <t>14 1079,62109</t>
  </si>
  <si>
    <t>15 1877,87537</t>
  </si>
  <si>
    <t>16 1778,76611</t>
  </si>
  <si>
    <t>17 1421,50366</t>
  </si>
  <si>
    <t>18 1708,20996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</si>
</sst>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7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Symbol"/>
      <family val="1"/>
      <charset val="2"/>
    </font>
    <font>
      <sz val="7"/>
      <color theme="1"/>
      <name val="Times New Roman"/>
      <family val="1"/>
    </font>
    <font>
      <sz val="12"/>
      <color theme="1"/>
      <name val="Arial"/>
      <family val="2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0" fillId="0" borderId="1" xfId="0" applyBorder="1"/>
    <xf numFmtId="0" fontId="6" fillId="0" borderId="1" xfId="0" applyFont="1" applyBorder="1" applyAlignment="1">
      <alignment horizontal="center"/>
    </xf>
    <xf numFmtId="0" fontId="0" fillId="0" borderId="2" xfId="0" applyBorder="1"/>
    <xf numFmtId="0" fontId="6" fillId="0" borderId="0" xfId="0" applyFont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" xfId="0" applyBorder="1" applyAlignment="1">
      <alignment horizontal="right"/>
    </xf>
    <xf numFmtId="0" fontId="0" fillId="0" borderId="11" xfId="0" applyBorder="1"/>
    <xf numFmtId="0" fontId="6" fillId="0" borderId="12" xfId="0" applyFont="1" applyBorder="1" applyAlignment="1">
      <alignment horizontal="center"/>
    </xf>
    <xf numFmtId="2" fontId="0" fillId="0" borderId="0" xfId="0" applyNumberFormat="1"/>
    <xf numFmtId="165" fontId="0" fillId="0" borderId="0" xfId="0" applyNumberFormat="1"/>
    <xf numFmtId="164" fontId="1" fillId="0" borderId="14" xfId="0" applyNumberFormat="1" applyFont="1" applyBorder="1"/>
    <xf numFmtId="0" fontId="0" fillId="0" borderId="14" xfId="0" applyBorder="1"/>
    <xf numFmtId="2" fontId="0" fillId="0" borderId="1" xfId="0" applyNumberFormat="1" applyBorder="1"/>
    <xf numFmtId="165" fontId="0" fillId="0" borderId="1" xfId="0" applyNumberFormat="1" applyBorder="1"/>
    <xf numFmtId="0" fontId="0" fillId="0" borderId="15" xfId="0" applyBorder="1"/>
    <xf numFmtId="0" fontId="0" fillId="0" borderId="13" xfId="0" applyBorder="1"/>
    <xf numFmtId="2" fontId="0" fillId="0" borderId="13" xfId="0" applyNumberFormat="1" applyBorder="1"/>
    <xf numFmtId="165" fontId="0" fillId="0" borderId="13" xfId="0" applyNumberFormat="1" applyBorder="1"/>
    <xf numFmtId="0" fontId="0" fillId="0" borderId="16" xfId="0" applyBorder="1"/>
    <xf numFmtId="2" fontId="0" fillId="0" borderId="16" xfId="0" applyNumberFormat="1" applyBorder="1"/>
    <xf numFmtId="165" fontId="0" fillId="0" borderId="16" xfId="0" applyNumberFormat="1" applyBorder="1"/>
    <xf numFmtId="0" fontId="0" fillId="2" borderId="13" xfId="0" applyFill="1" applyBorder="1" applyAlignment="1">
      <alignment horizontal="center" vertical="center" wrapText="1"/>
    </xf>
    <xf numFmtId="2" fontId="0" fillId="0" borderId="11" xfId="0" applyNumberFormat="1" applyBorder="1"/>
    <xf numFmtId="165" fontId="1" fillId="0" borderId="1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/>
              <a:t>Box Plot with Outliers</a:t>
            </a:r>
          </a:p>
          <a:p>
            <a:pPr>
              <a:defRPr/>
            </a:pPr>
            <a:r>
              <a:rPr lang="en-US" sz="1200"/>
              <a:t>COMPARACIÓN</a:t>
            </a:r>
            <a:r>
              <a:rPr lang="en-US" sz="1200" baseline="0"/>
              <a:t> RESISTENCIA A LA FRACTURA DE TRES MATERIALES RESTAURATIVOS</a:t>
            </a:r>
            <a:endParaRPr lang="en-US" sz="1200"/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BASE!$K$5</c:f>
              <c:strCache>
                <c:ptCount val="1"/>
                <c:pt idx="0">
                  <c:v>Min</c:v>
                </c:pt>
              </c:strCache>
            </c:strRef>
          </c:tx>
          <c:spPr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4472C4"/>
                  </a:solidFill>
                </a14:hiddenFill>
              </a:ext>
            </a:extLst>
          </c:spPr>
          <c:invertIfNegative val="0"/>
          <c:cat>
            <c:strRef>
              <c:f>BASE!$L$4:$N$4</c:f>
              <c:strCache>
                <c:ptCount val="3"/>
                <c:pt idx="0">
                  <c:v>DISILICATO</c:v>
                </c:pt>
                <c:pt idx="1">
                  <c:v>PMMA</c:v>
                </c:pt>
                <c:pt idx="2">
                  <c:v>RESINA</c:v>
                </c:pt>
              </c:strCache>
            </c:strRef>
          </c:cat>
          <c:val>
            <c:numRef>
              <c:f>BASE!$L$5:$N$5</c:f>
              <c:numCache>
                <c:formatCode>General</c:formatCode>
                <c:ptCount val="3"/>
                <c:pt idx="0">
                  <c:v>1137.02026</c:v>
                </c:pt>
                <c:pt idx="1">
                  <c:v>1048.72388</c:v>
                </c:pt>
                <c:pt idx="2">
                  <c:v>1031.96802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9A-414F-8A6B-EDBCB5A3421F}"/>
            </c:ext>
          </c:extLst>
        </c:ser>
        <c:ser>
          <c:idx val="1"/>
          <c:order val="1"/>
          <c:tx>
            <c:strRef>
              <c:f>BASE!$K$6</c:f>
              <c:strCache>
                <c:ptCount val="1"/>
                <c:pt idx="0">
                  <c:v>Q1-Min</c:v>
                </c:pt>
              </c:strCache>
            </c:strRef>
          </c:tx>
          <c:spPr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ED7D31"/>
                  </a:solidFill>
                </a14:hiddenFill>
              </a:ext>
            </a:extLst>
          </c:spPr>
          <c:invertIfNegative val="0"/>
          <c:errBars>
            <c:errBarType val="minus"/>
            <c:errValType val="percentage"/>
            <c:noEndCap val="0"/>
            <c:val val="100"/>
          </c:errBars>
          <c:cat>
            <c:strRef>
              <c:f>BASE!$L$4:$N$4</c:f>
              <c:strCache>
                <c:ptCount val="3"/>
                <c:pt idx="0">
                  <c:v>DISILICATO</c:v>
                </c:pt>
                <c:pt idx="1">
                  <c:v>PMMA</c:v>
                </c:pt>
                <c:pt idx="2">
                  <c:v>RESINA</c:v>
                </c:pt>
              </c:strCache>
            </c:strRef>
          </c:cat>
          <c:val>
            <c:numRef>
              <c:f>BASE!$L$6:$N$6</c:f>
              <c:numCache>
                <c:formatCode>General</c:formatCode>
                <c:ptCount val="3"/>
                <c:pt idx="0">
                  <c:v>365.55432250000013</c:v>
                </c:pt>
                <c:pt idx="1">
                  <c:v>230.55361249999987</c:v>
                </c:pt>
                <c:pt idx="2">
                  <c:v>298.55574999999999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9A-414F-8A6B-EDBCB5A3421F}"/>
            </c:ext>
          </c:extLst>
        </c:ser>
        <c:ser>
          <c:idx val="2"/>
          <c:order val="2"/>
          <c:tx>
            <c:strRef>
              <c:f>BASE!$K$7</c:f>
              <c:strCache>
                <c:ptCount val="1"/>
                <c:pt idx="0">
                  <c:v>Med-Q1</c:v>
                </c:pt>
              </c:strCache>
            </c:strRef>
          </c:tx>
          <c:invertIfNegative val="0"/>
          <c:cat>
            <c:strRef>
              <c:f>BASE!$L$4:$N$4</c:f>
              <c:strCache>
                <c:ptCount val="3"/>
                <c:pt idx="0">
                  <c:v>DISILICATO</c:v>
                </c:pt>
                <c:pt idx="1">
                  <c:v>PMMA</c:v>
                </c:pt>
                <c:pt idx="2">
                  <c:v>RESINA</c:v>
                </c:pt>
              </c:strCache>
            </c:strRef>
          </c:cat>
          <c:val>
            <c:numRef>
              <c:f>BASE!$L$7:$N$7</c:f>
              <c:numCache>
                <c:formatCode>General</c:formatCode>
                <c:ptCount val="3"/>
                <c:pt idx="0">
                  <c:v>200.67871249999985</c:v>
                </c:pt>
                <c:pt idx="1">
                  <c:v>146.34781250000015</c:v>
                </c:pt>
                <c:pt idx="2">
                  <c:v>202.81063999999992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9A-414F-8A6B-EDBCB5A3421F}"/>
            </c:ext>
          </c:extLst>
        </c:ser>
        <c:ser>
          <c:idx val="3"/>
          <c:order val="3"/>
          <c:tx>
            <c:strRef>
              <c:f>BASE!$K$8</c:f>
              <c:strCache>
                <c:ptCount val="1"/>
                <c:pt idx="0">
                  <c:v>Q3-Med</c:v>
                </c:pt>
              </c:strCache>
            </c:strRef>
          </c:tx>
          <c:invertIfNegative val="0"/>
          <c:errBars>
            <c:errBarType val="plus"/>
            <c:errValType val="cust"/>
            <c:noEndCap val="0"/>
            <c:plus>
              <c:numRef>
                <c:f>BASE!$L$9:$N$9</c:f>
                <c:numCache>
                  <c:formatCode>General</c:formatCode>
                  <c:ptCount val="3"/>
                  <c:pt idx="0">
                    <c:v>245.78637750000007</c:v>
                  </c:pt>
                  <c:pt idx="1">
                    <c:v>258.31979750000005</c:v>
                  </c:pt>
                  <c:pt idx="2">
                    <c:v>211.41937250000001</c:v>
                  </c:pt>
                </c:numCache>
              </c:numRef>
            </c:plus>
          </c:errBars>
          <c:cat>
            <c:strRef>
              <c:f>BASE!$L$4:$N$4</c:f>
              <c:strCache>
                <c:ptCount val="3"/>
                <c:pt idx="0">
                  <c:v>DISILICATO</c:v>
                </c:pt>
                <c:pt idx="1">
                  <c:v>PMMA</c:v>
                </c:pt>
                <c:pt idx="2">
                  <c:v>RESINA</c:v>
                </c:pt>
              </c:strCache>
            </c:strRef>
          </c:cat>
          <c:val>
            <c:numRef>
              <c:f>BASE!$L$8:$N$8</c:f>
              <c:numCache>
                <c:formatCode>General</c:formatCode>
                <c:ptCount val="3"/>
                <c:pt idx="0">
                  <c:v>236.34191749999991</c:v>
                </c:pt>
                <c:pt idx="1">
                  <c:v>100.30819750000001</c:v>
                </c:pt>
                <c:pt idx="2">
                  <c:v>166.5103775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B9A-414F-8A6B-EDBCB5A342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60253839"/>
        <c:axId val="1760249263"/>
      </c:barChart>
      <c:scatterChart>
        <c:scatterStyle val="lineMarker"/>
        <c:varyColors val="0"/>
        <c:ser>
          <c:idx val="4"/>
          <c:order val="4"/>
          <c:tx>
            <c:v>m</c:v>
          </c:tx>
          <c:spPr>
            <a:ln w="19050">
              <a:noFill/>
            </a:ln>
          </c:spPr>
          <c:marker>
            <c:symbol val="x"/>
            <c:size val="5"/>
            <c:spPr>
              <a:ln>
                <a:solidFill>
                  <a:srgbClr val="000000"/>
                </a:solidFill>
                <a:prstDash val="solid"/>
              </a:ln>
            </c:spPr>
          </c:marker>
          <c:yVal>
            <c:numRef>
              <c:f>BASE!$L$10:$N$10</c:f>
              <c:numCache>
                <c:formatCode>General</c:formatCode>
                <c:ptCount val="3"/>
                <c:pt idx="0">
                  <c:v>1684.9716661111108</c:v>
                </c:pt>
                <c:pt idx="1">
                  <c:v>1417.4050761111112</c:v>
                </c:pt>
                <c:pt idx="2">
                  <c:v>1514.7379077777778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CB9A-414F-8A6B-EDBCB5A342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60253839"/>
        <c:axId val="1760249263"/>
      </c:scatterChart>
      <c:catAx>
        <c:axId val="17602538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60249263"/>
        <c:crosses val="autoZero"/>
        <c:auto val="1"/>
        <c:lblAlgn val="ctr"/>
        <c:lblOffset val="100"/>
        <c:noMultiLvlLbl val="0"/>
      </c:catAx>
      <c:valAx>
        <c:axId val="1760249263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760253839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314325</xdr:colOff>
      <xdr:row>8</xdr:row>
      <xdr:rowOff>9524</xdr:rowOff>
    </xdr:from>
    <xdr:to>
      <xdr:col>12</xdr:col>
      <xdr:colOff>495300</xdr:colOff>
      <xdr:row>24</xdr:row>
      <xdr:rowOff>133349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A0D44DD-BCCB-4171-909C-305FC3C35C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namericana/Downloads/XRealStats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fig"/>
      <sheetName val="Wilcoxon Table"/>
      <sheetName val="Mann Table"/>
      <sheetName val="Runs Table"/>
      <sheetName val="KS Table"/>
      <sheetName val="KS2 Table"/>
      <sheetName val="Lil Table"/>
      <sheetName val="AD Table"/>
      <sheetName val="AD2 Table"/>
      <sheetName val="SW Table"/>
      <sheetName val="Stud. Q Table"/>
      <sheetName val="Stud. Q Table 2"/>
      <sheetName val="Sp Rho Table"/>
      <sheetName val="Ken Tau Table"/>
      <sheetName val="Durbin Table"/>
      <sheetName val="Dunnett Table"/>
      <sheetName val="Dunnett 1"/>
      <sheetName val="Prime"/>
      <sheetName val="MSSD"/>
      <sheetName val="Dict"/>
      <sheetName val="ADict"/>
      <sheetName val="XRealStats"/>
    </sheetNames>
    <definedNames>
      <definedName name="DAGOSTINO"/>
      <definedName name="DPTEST"/>
      <definedName name="IQR"/>
      <definedName name="MAD"/>
      <definedName name="QCRIT"/>
      <definedName name="QDIST"/>
      <definedName name="SHAPIRO"/>
      <definedName name="SWTEST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20405-884D-43C3-B63D-0F7363CDCC27}">
  <dimension ref="A1:S8"/>
  <sheetViews>
    <sheetView tabSelected="1" workbookViewId="0">
      <selection activeCell="A10" sqref="A10"/>
    </sheetView>
  </sheetViews>
  <sheetFormatPr defaultColWidth="11.42578125" defaultRowHeight="15"/>
  <cols>
    <col min="1" max="1" width="32.7109375" bestFit="1" customWidth="1"/>
    <col min="6" max="6" width="3" bestFit="1" customWidth="1"/>
    <col min="7" max="7" width="7.5703125" bestFit="1" customWidth="1"/>
    <col min="8" max="8" width="8.85546875" bestFit="1" customWidth="1"/>
    <col min="9" max="9" width="7.7109375" bestFit="1" customWidth="1"/>
    <col min="10" max="10" width="9.85546875" bestFit="1" customWidth="1"/>
    <col min="11" max="11" width="9.5703125" bestFit="1" customWidth="1"/>
    <col min="12" max="12" width="6.5703125" bestFit="1" customWidth="1"/>
    <col min="13" max="13" width="9" customWidth="1"/>
    <col min="14" max="14" width="11.5703125" customWidth="1"/>
    <col min="15" max="15" width="5.7109375" customWidth="1"/>
  </cols>
  <sheetData>
    <row r="1" spans="1:19">
      <c r="A1" t="s">
        <v>0</v>
      </c>
    </row>
    <row r="2" spans="1:19">
      <c r="A2" t="s">
        <v>1</v>
      </c>
      <c r="C2" t="s">
        <v>2</v>
      </c>
    </row>
    <row r="3" spans="1:19">
      <c r="A3" t="s">
        <v>3</v>
      </c>
      <c r="C3" t="s">
        <v>4</v>
      </c>
    </row>
    <row r="4" spans="1:19" ht="45.75" thickBot="1">
      <c r="A4" t="s">
        <v>5</v>
      </c>
      <c r="C4" t="s">
        <v>6</v>
      </c>
      <c r="E4" s="33"/>
      <c r="F4" s="33" t="s">
        <v>7</v>
      </c>
      <c r="G4" s="33" t="s">
        <v>8</v>
      </c>
      <c r="H4" s="33" t="s">
        <v>9</v>
      </c>
      <c r="I4" s="33" t="s">
        <v>10</v>
      </c>
      <c r="J4" s="33" t="s">
        <v>11</v>
      </c>
      <c r="K4" s="33" t="s">
        <v>12</v>
      </c>
      <c r="L4" s="33" t="s">
        <v>13</v>
      </c>
      <c r="M4" s="33" t="s">
        <v>14</v>
      </c>
      <c r="N4" s="33" t="s">
        <v>15</v>
      </c>
      <c r="P4" t="s">
        <v>16</v>
      </c>
    </row>
    <row r="5" spans="1:19" ht="15.75" thickTop="1">
      <c r="A5" t="s">
        <v>17</v>
      </c>
      <c r="C5" t="s">
        <v>18</v>
      </c>
      <c r="E5" s="30" t="s">
        <v>19</v>
      </c>
      <c r="F5" s="30">
        <v>18</v>
      </c>
      <c r="G5" s="31">
        <v>1684.9716661111108</v>
      </c>
      <c r="H5" s="31">
        <v>75.834603401044745</v>
      </c>
      <c r="I5" s="31">
        <v>1703.253295</v>
      </c>
      <c r="J5" s="31">
        <v>2185.38159</v>
      </c>
      <c r="K5" s="31">
        <v>1137.02026</v>
      </c>
      <c r="L5" s="31">
        <v>437.02062999999976</v>
      </c>
      <c r="M5" s="32">
        <v>0.52919628308491073</v>
      </c>
      <c r="N5" s="22">
        <v>1.4232103210130164E-2</v>
      </c>
      <c r="P5" s="19" t="s">
        <v>20</v>
      </c>
      <c r="Q5" s="19" t="s">
        <v>21</v>
      </c>
      <c r="R5" s="19" t="s">
        <v>22</v>
      </c>
      <c r="S5" s="19" t="s">
        <v>23</v>
      </c>
    </row>
    <row r="6" spans="1:19">
      <c r="A6" t="s">
        <v>24</v>
      </c>
      <c r="C6" t="s">
        <v>25</v>
      </c>
      <c r="E6" s="27" t="s">
        <v>26</v>
      </c>
      <c r="F6" s="27">
        <v>18</v>
      </c>
      <c r="G6" s="28">
        <v>1417.40507611111</v>
      </c>
      <c r="H6" s="28">
        <v>47.42070611969303</v>
      </c>
      <c r="I6" s="28">
        <v>1425.625305</v>
      </c>
      <c r="J6" s="28">
        <v>1784.2533000000001</v>
      </c>
      <c r="K6" s="28">
        <v>1048.72388</v>
      </c>
      <c r="L6" s="28">
        <v>246.65601000000015</v>
      </c>
      <c r="M6" s="29">
        <v>0.99707126164325877</v>
      </c>
      <c r="N6" s="23"/>
      <c r="P6" s="18" t="s">
        <v>19</v>
      </c>
      <c r="Q6" s="18" t="s">
        <v>26</v>
      </c>
      <c r="R6" s="34">
        <v>267.56658999999968</v>
      </c>
      <c r="S6" s="35">
        <v>1.1263589199205781E-2</v>
      </c>
    </row>
    <row r="7" spans="1:19">
      <c r="A7" t="s">
        <v>27</v>
      </c>
      <c r="E7" s="27" t="s">
        <v>28</v>
      </c>
      <c r="F7" s="27">
        <v>18</v>
      </c>
      <c r="G7" s="28">
        <v>1514.7379077777778</v>
      </c>
      <c r="H7" s="28">
        <v>62.378702074460982</v>
      </c>
      <c r="I7" s="28">
        <v>1533.3344099999999</v>
      </c>
      <c r="J7" s="28">
        <v>1911.2641599999999</v>
      </c>
      <c r="K7" s="28">
        <v>1031.96802</v>
      </c>
      <c r="L7" s="28">
        <v>369.32101749999993</v>
      </c>
      <c r="M7" s="29">
        <v>0.53106472672246063</v>
      </c>
      <c r="N7" s="26"/>
      <c r="P7" t="s">
        <v>19</v>
      </c>
      <c r="Q7" t="s">
        <v>28</v>
      </c>
      <c r="R7" s="20">
        <v>170.23375833333307</v>
      </c>
      <c r="S7" s="21">
        <v>0.14564880865098095</v>
      </c>
    </row>
    <row r="8" spans="1:19">
      <c r="A8" t="s">
        <v>29</v>
      </c>
      <c r="P8" s="5" t="s">
        <v>26</v>
      </c>
      <c r="Q8" s="5" t="s">
        <v>28</v>
      </c>
      <c r="R8" s="24">
        <v>97.332831666666607</v>
      </c>
      <c r="S8" s="25">
        <v>0.52261849981954656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F04D1-26B6-4243-A579-D32E75A31E0D}">
  <dimension ref="A1:AD47"/>
  <sheetViews>
    <sheetView topLeftCell="I1" workbookViewId="0">
      <selection activeCell="R43" sqref="R43:U47"/>
    </sheetView>
  </sheetViews>
  <sheetFormatPr defaultColWidth="11.42578125" defaultRowHeight="15"/>
  <sheetData>
    <row r="1" spans="1:19">
      <c r="A1" t="s">
        <v>30</v>
      </c>
      <c r="B1" t="s">
        <v>19</v>
      </c>
      <c r="C1" t="s">
        <v>26</v>
      </c>
      <c r="D1" t="s">
        <v>28</v>
      </c>
    </row>
    <row r="2" spans="1:19">
      <c r="A2">
        <v>1</v>
      </c>
      <c r="B2">
        <v>1801.6654100000001</v>
      </c>
      <c r="C2">
        <v>1287.4448199999999</v>
      </c>
      <c r="D2">
        <v>1766.4710700000001</v>
      </c>
      <c r="F2" t="s">
        <v>31</v>
      </c>
      <c r="K2" t="s">
        <v>32</v>
      </c>
      <c r="L2" s="7">
        <v>2.2000000000000002</v>
      </c>
      <c r="P2" t="s">
        <v>33</v>
      </c>
    </row>
    <row r="3" spans="1:19">
      <c r="A3">
        <v>2</v>
      </c>
      <c r="B3">
        <v>2073.0234399999999</v>
      </c>
      <c r="C3">
        <v>1442.21423</v>
      </c>
      <c r="D3">
        <v>1190.8393599999999</v>
      </c>
    </row>
    <row r="4" spans="1:19">
      <c r="A4">
        <v>3</v>
      </c>
      <c r="B4">
        <v>2185.38159</v>
      </c>
      <c r="C4">
        <v>1729.62292</v>
      </c>
      <c r="D4">
        <v>1300.19714</v>
      </c>
      <c r="F4" s="6"/>
      <c r="G4" s="6" t="str">
        <f>B1</f>
        <v>DISILICATO</v>
      </c>
      <c r="H4" s="6" t="str">
        <f t="shared" ref="H4:I4" si="0">C1</f>
        <v>PMMA</v>
      </c>
      <c r="I4" s="6" t="str">
        <f t="shared" si="0"/>
        <v>RESINA</v>
      </c>
      <c r="L4" s="8" t="str">
        <f>B1</f>
        <v>DISILICATO</v>
      </c>
      <c r="M4" s="8" t="str">
        <f t="shared" ref="M4:N4" si="1">C1</f>
        <v>PMMA</v>
      </c>
      <c r="N4" s="8" t="str">
        <f t="shared" si="1"/>
        <v>RESINA</v>
      </c>
      <c r="P4" s="6"/>
      <c r="Q4" s="6" t="str">
        <f>B1</f>
        <v>DISILICATO</v>
      </c>
      <c r="R4" s="6" t="str">
        <f t="shared" ref="R4:S4" si="2">C1</f>
        <v>PMMA</v>
      </c>
      <c r="S4" s="6" t="str">
        <f t="shared" si="2"/>
        <v>RESINA</v>
      </c>
    </row>
    <row r="5" spans="1:19">
      <c r="A5">
        <v>4</v>
      </c>
      <c r="B5">
        <v>1825.8610799999999</v>
      </c>
      <c r="C5">
        <v>1784.2533000000001</v>
      </c>
      <c r="D5">
        <v>1276.61401</v>
      </c>
      <c r="F5" t="s">
        <v>34</v>
      </c>
      <c r="G5">
        <f>AVERAGE(B2:B19)</f>
        <v>1684.9716661111108</v>
      </c>
      <c r="H5">
        <f t="shared" ref="H5:I5" si="3">AVERAGE(C2:C19)</f>
        <v>1417.4050761111112</v>
      </c>
      <c r="I5">
        <f t="shared" si="3"/>
        <v>1514.7379077777778</v>
      </c>
      <c r="K5" t="s">
        <v>35</v>
      </c>
      <c r="L5" s="9">
        <f>L12-$L19</f>
        <v>1137.02026</v>
      </c>
      <c r="M5" s="10">
        <f t="shared" ref="M5:N5" si="4">M12-$L19</f>
        <v>1048.72388</v>
      </c>
      <c r="N5" s="11">
        <f t="shared" si="4"/>
        <v>1031.96802</v>
      </c>
      <c r="P5" t="s">
        <v>36</v>
      </c>
      <c r="Q5">
        <f>[1]!SHAPIRO(B2:B19)</f>
        <v>0.95380690776736143</v>
      </c>
      <c r="R5">
        <f>[1]!SHAPIRO(C2:C19)</f>
        <v>0.9769948075101631</v>
      </c>
      <c r="S5">
        <f>[1]!SHAPIRO(D2:D19)</f>
        <v>0.95636100727272388</v>
      </c>
    </row>
    <row r="6" spans="1:19">
      <c r="A6">
        <v>5</v>
      </c>
      <c r="B6">
        <v>1488.0479700000001</v>
      </c>
      <c r="C6">
        <v>1653.04919</v>
      </c>
      <c r="D6">
        <v>1595.5914299999999</v>
      </c>
      <c r="F6" t="s">
        <v>9</v>
      </c>
      <c r="G6">
        <f>_xlfn.STDEV.S(B2:B19)/SQRT(COUNT(B2:B19))</f>
        <v>75.834603401044745</v>
      </c>
      <c r="H6">
        <f t="shared" ref="H6:I6" si="5">_xlfn.STDEV.S(C2:C19)/SQRT(COUNT(C2:C19))</f>
        <v>47.42070611969303</v>
      </c>
      <c r="I6">
        <f t="shared" si="5"/>
        <v>62.378702074460982</v>
      </c>
      <c r="K6" t="s">
        <v>37</v>
      </c>
      <c r="L6" s="12">
        <f>MAX(L13-L12,0)</f>
        <v>365.55432250000013</v>
      </c>
      <c r="M6">
        <f t="shared" ref="M6:N6" si="6">MAX(M13-M12,0)</f>
        <v>230.55361249999987</v>
      </c>
      <c r="N6" s="13">
        <f t="shared" si="6"/>
        <v>298.55574999999999</v>
      </c>
      <c r="P6" t="s">
        <v>23</v>
      </c>
      <c r="Q6">
        <f>[1]!SWTEST(B2:B19)</f>
        <v>0.4878088747189433</v>
      </c>
      <c r="R6">
        <f>[1]!SWTEST(C2:C19)</f>
        <v>0.91383828048262361</v>
      </c>
      <c r="S6">
        <f>[1]!SWTEST(D2:D19)</f>
        <v>0.53318804873559955</v>
      </c>
    </row>
    <row r="7" spans="1:19">
      <c r="A7">
        <v>6</v>
      </c>
      <c r="B7">
        <v>1211.9067399999999</v>
      </c>
      <c r="C7">
        <v>1364.9792500000001</v>
      </c>
      <c r="D7">
        <v>1031.96802</v>
      </c>
      <c r="F7" t="s">
        <v>10</v>
      </c>
      <c r="G7">
        <f>MEDIAN(B2:B19)</f>
        <v>1703.253295</v>
      </c>
      <c r="H7">
        <f t="shared" ref="H7:I7" si="7">MEDIAN(C2:C19)</f>
        <v>1425.625305</v>
      </c>
      <c r="I7">
        <f t="shared" si="7"/>
        <v>1533.3344099999999</v>
      </c>
      <c r="K7" t="s">
        <v>38</v>
      </c>
      <c r="L7" s="12">
        <f t="shared" ref="L7:N9" si="8">MAX(L14-L13,0)</f>
        <v>200.67871249999985</v>
      </c>
      <c r="M7">
        <f t="shared" si="8"/>
        <v>146.34781250000015</v>
      </c>
      <c r="N7" s="13">
        <f t="shared" si="8"/>
        <v>202.81063999999992</v>
      </c>
      <c r="P7" t="s">
        <v>39</v>
      </c>
      <c r="Q7">
        <v>0.05</v>
      </c>
      <c r="R7">
        <v>0.05</v>
      </c>
      <c r="S7">
        <v>0.05</v>
      </c>
    </row>
    <row r="8" spans="1:19">
      <c r="A8">
        <v>7</v>
      </c>
      <c r="B8">
        <v>1184.1955599999999</v>
      </c>
      <c r="C8">
        <v>1508.8275100000001</v>
      </c>
      <c r="D8">
        <v>1430.6449</v>
      </c>
      <c r="F8" t="s">
        <v>40</v>
      </c>
      <c r="G8" t="e">
        <f>MODE(B2:B19)</f>
        <v>#N/A</v>
      </c>
      <c r="H8" t="e">
        <f t="shared" ref="H8:I8" si="9">MODE(C2:C19)</f>
        <v>#N/A</v>
      </c>
      <c r="I8" t="e">
        <f t="shared" si="9"/>
        <v>#N/A</v>
      </c>
      <c r="K8" t="s">
        <v>41</v>
      </c>
      <c r="L8" s="12">
        <f t="shared" si="8"/>
        <v>236.34191749999991</v>
      </c>
      <c r="M8">
        <f t="shared" si="8"/>
        <v>100.30819750000001</v>
      </c>
      <c r="N8" s="13">
        <f t="shared" si="8"/>
        <v>166.5103775</v>
      </c>
      <c r="P8" s="5" t="s">
        <v>42</v>
      </c>
      <c r="Q8" s="17" t="str">
        <f>IF(Q6&lt;Q7,"no","yes")</f>
        <v>yes</v>
      </c>
      <c r="R8" s="17" t="str">
        <f t="shared" ref="R8:S8" si="10">IF(R6&lt;R7,"no","yes")</f>
        <v>yes</v>
      </c>
      <c r="S8" s="17" t="str">
        <f t="shared" si="10"/>
        <v>yes</v>
      </c>
    </row>
    <row r="9" spans="1:19">
      <c r="A9">
        <v>8</v>
      </c>
      <c r="B9">
        <v>1573.1091300000001</v>
      </c>
      <c r="C9">
        <v>1252.57617</v>
      </c>
      <c r="D9">
        <v>1665.0338099999999</v>
      </c>
      <c r="F9" t="s">
        <v>43</v>
      </c>
      <c r="G9">
        <f>_xlfn.STDEV.S(B2:B19)</f>
        <v>321.7389738808269</v>
      </c>
      <c r="H9">
        <f t="shared" ref="H9:I9" si="11">_xlfn.STDEV.S(C2:C19)</f>
        <v>201.18901719533611</v>
      </c>
      <c r="I9">
        <f t="shared" si="11"/>
        <v>264.6504194308003</v>
      </c>
      <c r="K9" t="s">
        <v>44</v>
      </c>
      <c r="L9" s="12">
        <f t="shared" si="8"/>
        <v>245.78637750000007</v>
      </c>
      <c r="M9">
        <f t="shared" si="8"/>
        <v>258.31979750000005</v>
      </c>
      <c r="N9" s="13">
        <f t="shared" si="8"/>
        <v>211.41937250000001</v>
      </c>
    </row>
    <row r="10" spans="1:19">
      <c r="A10">
        <v>9</v>
      </c>
      <c r="B10">
        <v>1627.5955799999999</v>
      </c>
      <c r="C10">
        <v>1504.2804000000001</v>
      </c>
      <c r="D10">
        <v>1658.82239</v>
      </c>
      <c r="F10" t="s">
        <v>45</v>
      </c>
      <c r="G10">
        <f>_xlfn.VAR.S(B2:B19)</f>
        <v>103515.96731388744</v>
      </c>
      <c r="H10">
        <f t="shared" ref="H10:I10" si="12">_xlfn.VAR.S(C2:C19)</f>
        <v>40477.020640025243</v>
      </c>
      <c r="I10">
        <f t="shared" si="12"/>
        <v>70039.84450489853</v>
      </c>
      <c r="K10" t="s">
        <v>34</v>
      </c>
      <c r="L10" s="14">
        <f>L17-$L19</f>
        <v>1684.9716661111108</v>
      </c>
      <c r="M10" s="15">
        <f t="shared" ref="M10:N10" si="13">M17-$L19</f>
        <v>1417.4050761111112</v>
      </c>
      <c r="N10" s="16">
        <f t="shared" si="13"/>
        <v>1514.7379077777778</v>
      </c>
      <c r="P10" t="s">
        <v>46</v>
      </c>
    </row>
    <row r="11" spans="1:19">
      <c r="A11">
        <v>10</v>
      </c>
      <c r="B11">
        <v>2024.15796</v>
      </c>
      <c r="C11">
        <v>1429.43481</v>
      </c>
      <c r="D11">
        <v>1471.0773899999999</v>
      </c>
      <c r="F11" t="s">
        <v>47</v>
      </c>
      <c r="G11">
        <f>KURT(B2:B19)</f>
        <v>-0.92928172155645905</v>
      </c>
      <c r="H11">
        <f t="shared" ref="H11:I11" si="14">KURT(C2:C19)</f>
        <v>-0.23322412440959228</v>
      </c>
      <c r="I11">
        <f t="shared" si="14"/>
        <v>-0.86615850834494168</v>
      </c>
    </row>
    <row r="12" spans="1:19">
      <c r="A12">
        <v>11</v>
      </c>
      <c r="B12">
        <v>1831.1942100000001</v>
      </c>
      <c r="C12">
        <v>1421.8158000000001</v>
      </c>
      <c r="D12">
        <v>1426.0332000000001</v>
      </c>
      <c r="F12" t="s">
        <v>48</v>
      </c>
      <c r="G12">
        <f>SKEW(B2:B19)</f>
        <v>-0.22835411971398534</v>
      </c>
      <c r="H12">
        <f t="shared" ref="H12:I12" si="15">SKEW(C2:C19)</f>
        <v>-3.6124792884810984E-2</v>
      </c>
      <c r="I12">
        <f t="shared" si="15"/>
        <v>-0.32700940981105092</v>
      </c>
      <c r="K12" t="s">
        <v>35</v>
      </c>
      <c r="L12" s="9">
        <f t="array" ref="L12">MIN(IF(ISBLANK(B2:B19),"",IF(B2:B19&gt;=L13-$L2*(L15-L13),B2:B19,"")))</f>
        <v>1137.02026</v>
      </c>
      <c r="M12" s="10">
        <f t="array" ref="M12">MIN(IF(ISBLANK(C2:C19),"",IF(C2:C19&gt;=M13-$L2*(M15-M13),C2:C19,"")))</f>
        <v>1048.72388</v>
      </c>
      <c r="N12" s="11">
        <f t="array" ref="N12">MIN(IF(ISBLANK(D2:D19),"",IF(D2:D19&gt;=N13-$L2*(N15-N13),D2:D19,"")))</f>
        <v>1031.96802</v>
      </c>
      <c r="P12" s="18" t="s">
        <v>49</v>
      </c>
      <c r="Q12" s="18">
        <f>[1]!DAGOSTINO(B2:B19)</f>
        <v>1.2727917408301501</v>
      </c>
      <c r="R12" s="18">
        <f>[1]!DAGOSTINO(C2:C19)</f>
        <v>5.8660710062365135E-3</v>
      </c>
      <c r="S12" s="18">
        <f>[1]!DAGOSTINO(D2:D19)</f>
        <v>1.265742738539454</v>
      </c>
    </row>
    <row r="13" spans="1:19">
      <c r="A13">
        <v>12</v>
      </c>
      <c r="B13">
        <v>1975.7288799999999</v>
      </c>
      <c r="C13">
        <v>1048.72388</v>
      </c>
      <c r="D13">
        <v>1674.74927</v>
      </c>
      <c r="F13" t="s">
        <v>50</v>
      </c>
      <c r="G13">
        <f>G14-G15</f>
        <v>1048.36133</v>
      </c>
      <c r="H13">
        <f t="shared" ref="H13:I13" si="16">H14-H15</f>
        <v>735.52942000000007</v>
      </c>
      <c r="I13">
        <f t="shared" si="16"/>
        <v>879.29613999999992</v>
      </c>
      <c r="K13" t="s">
        <v>51</v>
      </c>
      <c r="L13" s="12">
        <f>_xlfn.QUARTILE.INC(B2:B19,1)</f>
        <v>1502.5745825000001</v>
      </c>
      <c r="M13">
        <f t="shared" ref="M13:N13" si="17">_xlfn.QUARTILE.INC(C2:C19,1)</f>
        <v>1279.2774924999999</v>
      </c>
      <c r="N13" s="13">
        <f t="shared" si="17"/>
        <v>1330.52377</v>
      </c>
      <c r="P13" t="s">
        <v>23</v>
      </c>
      <c r="Q13">
        <f>[1]!DPTEST(B2:B19)</f>
        <v>0.52919628308491073</v>
      </c>
      <c r="R13">
        <f>[1]!DPTEST(C2:C19)</f>
        <v>0.99707126164325877</v>
      </c>
      <c r="S13">
        <f>[1]!DPTEST(D2:D19)</f>
        <v>0.53106472672246063</v>
      </c>
    </row>
    <row r="14" spans="1:19">
      <c r="A14">
        <v>13</v>
      </c>
      <c r="B14">
        <v>2079.5749500000002</v>
      </c>
      <c r="C14">
        <v>1073.1237799999999</v>
      </c>
      <c r="D14">
        <v>1911.2641599999999</v>
      </c>
      <c r="F14" t="s">
        <v>11</v>
      </c>
      <c r="G14">
        <f>MAX(B2:B19)</f>
        <v>2185.38159</v>
      </c>
      <c r="H14">
        <f t="shared" ref="H14:I14" si="18">MAX(C2:C19)</f>
        <v>1784.2533000000001</v>
      </c>
      <c r="I14">
        <f t="shared" si="18"/>
        <v>1911.2641599999999</v>
      </c>
      <c r="K14" t="s">
        <v>10</v>
      </c>
      <c r="L14" s="12">
        <f>MEDIAN(B2:B19)</f>
        <v>1703.253295</v>
      </c>
      <c r="M14">
        <f t="shared" ref="M14:N14" si="19">MEDIAN(C2:C19)</f>
        <v>1425.625305</v>
      </c>
      <c r="N14" s="13">
        <f t="shared" si="19"/>
        <v>1533.3344099999999</v>
      </c>
      <c r="P14" t="s">
        <v>39</v>
      </c>
      <c r="Q14">
        <v>0.05</v>
      </c>
      <c r="R14">
        <v>0.05</v>
      </c>
      <c r="S14">
        <v>0.05</v>
      </c>
    </row>
    <row r="15" spans="1:19">
      <c r="A15">
        <v>14</v>
      </c>
      <c r="B15">
        <v>1399.6743200000001</v>
      </c>
      <c r="C15">
        <v>1276.5550499999999</v>
      </c>
      <c r="D15">
        <v>1079.6210900000001</v>
      </c>
      <c r="F15" t="s">
        <v>12</v>
      </c>
      <c r="G15">
        <f>MIN(B2:B19)</f>
        <v>1137.02026</v>
      </c>
      <c r="H15">
        <f t="shared" ref="H15:I15" si="20">MIN(C2:C19)</f>
        <v>1048.72388</v>
      </c>
      <c r="I15">
        <f t="shared" si="20"/>
        <v>1031.96802</v>
      </c>
      <c r="K15" t="s">
        <v>52</v>
      </c>
      <c r="L15" s="12">
        <f>_xlfn.QUARTILE.INC(B2:B19,3)</f>
        <v>1939.5952124999999</v>
      </c>
      <c r="M15">
        <f t="shared" ref="M15:N15" si="21">_xlfn.QUARTILE.INC(C2:C19,3)</f>
        <v>1525.9335025</v>
      </c>
      <c r="N15" s="13">
        <f t="shared" si="21"/>
        <v>1699.8447874999999</v>
      </c>
      <c r="P15" s="5" t="s">
        <v>42</v>
      </c>
      <c r="Q15" s="17" t="str">
        <f>IF(Q13&lt;Q14,"no","yes")</f>
        <v>yes</v>
      </c>
      <c r="R15" s="17" t="str">
        <f t="shared" ref="R15:S15" si="22">IF(R13&lt;R14,"no","yes")</f>
        <v>yes</v>
      </c>
      <c r="S15" s="17" t="str">
        <f t="shared" si="22"/>
        <v>yes</v>
      </c>
    </row>
    <row r="16" spans="1:19">
      <c r="A16">
        <v>15</v>
      </c>
      <c r="B16">
        <v>1137.02026</v>
      </c>
      <c r="C16">
        <v>1363.9204099999999</v>
      </c>
      <c r="D16">
        <v>1877.87537</v>
      </c>
      <c r="F16" t="s">
        <v>53</v>
      </c>
      <c r="G16">
        <f>SUM(B2:B19)</f>
        <v>30329.489989999995</v>
      </c>
      <c r="H16">
        <f t="shared" ref="H16:I16" si="23">SUM(C2:C19)</f>
        <v>25513.291370000003</v>
      </c>
      <c r="I16">
        <f t="shared" si="23"/>
        <v>27265.282339999998</v>
      </c>
      <c r="K16" t="s">
        <v>54</v>
      </c>
      <c r="L16" s="12">
        <f t="array" ref="L16">MAX(IF(ISBLANK(B2:B19),"",IF(B2:B19&lt;=L15+$L2*(L15-L13),B2:B19,"")))</f>
        <v>2185.38159</v>
      </c>
      <c r="M16">
        <f t="array" ref="M16">MAX(IF(ISBLANK(C2:C19),"",IF(C2:C19&lt;=M15+$L2*(M15-M13),C2:C19,"")))</f>
        <v>1784.2533000000001</v>
      </c>
      <c r="N16" s="13">
        <f t="array" ref="N16">MAX(IF(ISBLANK(D2:D19),"",IF(D2:D19&lt;=N15+$L2*(N15-N13),D2:D19,"")))</f>
        <v>1911.2641599999999</v>
      </c>
    </row>
    <row r="17" spans="1:30">
      <c r="A17">
        <v>16</v>
      </c>
      <c r="B17">
        <v>1586.28748</v>
      </c>
      <c r="C17">
        <v>1531.6355000000001</v>
      </c>
      <c r="D17">
        <v>1778.76611</v>
      </c>
      <c r="F17" t="s">
        <v>55</v>
      </c>
      <c r="G17">
        <f>COUNT(B2:B19)</f>
        <v>18</v>
      </c>
      <c r="H17">
        <f t="shared" ref="H17:I17" si="24">COUNT(C2:C19)</f>
        <v>18</v>
      </c>
      <c r="I17">
        <f t="shared" si="24"/>
        <v>18</v>
      </c>
      <c r="K17" t="s">
        <v>34</v>
      </c>
      <c r="L17" s="14">
        <f>AVERAGE(B2:B19)</f>
        <v>1684.9716661111108</v>
      </c>
      <c r="M17" s="15">
        <f t="shared" ref="M17:N17" si="25">AVERAGE(C2:C19)</f>
        <v>1417.4050761111112</v>
      </c>
      <c r="N17" s="16">
        <f t="shared" si="25"/>
        <v>1514.7379077777778</v>
      </c>
    </row>
    <row r="18" spans="1:30">
      <c r="A18">
        <v>17</v>
      </c>
      <c r="B18">
        <v>1546.1544200000001</v>
      </c>
      <c r="C18">
        <v>1573.4046599999999</v>
      </c>
      <c r="D18">
        <v>1421.5036600000001</v>
      </c>
      <c r="F18" t="s">
        <v>56</v>
      </c>
      <c r="G18">
        <f>GEOMEAN(B2:B19)</f>
        <v>1654.3627128293672</v>
      </c>
      <c r="H18">
        <f t="shared" ref="H18:I18" si="26">GEOMEAN(C2:C19)</f>
        <v>1403.6066803840813</v>
      </c>
      <c r="I18">
        <f t="shared" si="26"/>
        <v>1491.6019811176652</v>
      </c>
    </row>
    <row r="19" spans="1:30">
      <c r="A19">
        <v>18</v>
      </c>
      <c r="B19">
        <v>1778.91101</v>
      </c>
      <c r="C19">
        <v>1267.4296899999999</v>
      </c>
      <c r="D19">
        <v>1708.2099599999999</v>
      </c>
      <c r="F19" t="s">
        <v>57</v>
      </c>
      <c r="G19">
        <f>HARMEAN(B2:B19)</f>
        <v>1622.3816962236031</v>
      </c>
      <c r="H19">
        <f t="shared" ref="H19:I19" si="27">HARMEAN(C2:C19)</f>
        <v>1389.4811842632967</v>
      </c>
      <c r="I19">
        <f t="shared" si="27"/>
        <v>1467.2769761193176</v>
      </c>
      <c r="K19" t="s">
        <v>58</v>
      </c>
      <c r="L19" s="7">
        <f>IF(MIN(L12:N12)&gt;=0,0,MIN(L12:N12))</f>
        <v>0</v>
      </c>
    </row>
    <row r="20" spans="1:30">
      <c r="F20" t="s">
        <v>59</v>
      </c>
      <c r="G20">
        <f>AVEDEV(B2:B19)</f>
        <v>267.86150388888888</v>
      </c>
      <c r="H20">
        <f t="shared" ref="H20:I20" si="28">AVEDEV(C2:C19)</f>
        <v>156.05417320987661</v>
      </c>
      <c r="I20">
        <f t="shared" si="28"/>
        <v>222.68248888888891</v>
      </c>
    </row>
    <row r="21" spans="1:30">
      <c r="F21" t="s">
        <v>60</v>
      </c>
      <c r="G21">
        <f>[1]!MAD(B2:B19)</f>
        <v>243.84045499999991</v>
      </c>
      <c r="H21">
        <f>[1]!MAD(C2:C19)</f>
        <v>142.97991999999999</v>
      </c>
      <c r="I21">
        <f>[1]!MAD(D2:D19)</f>
        <v>204.00610500000005</v>
      </c>
      <c r="K21" t="s">
        <v>61</v>
      </c>
      <c r="L21" t="s">
        <v>62</v>
      </c>
      <c r="M21" t="s">
        <v>62</v>
      </c>
      <c r="N21" t="s">
        <v>62</v>
      </c>
    </row>
    <row r="22" spans="1:30">
      <c r="F22" s="5" t="s">
        <v>13</v>
      </c>
      <c r="G22" s="5">
        <f>[1]!IQR(B2:B19,FALSE)</f>
        <v>437.02062999999976</v>
      </c>
      <c r="H22" s="5">
        <f>[1]!IQR(C2:C19,FALSE)</f>
        <v>246.65601000000015</v>
      </c>
      <c r="I22" s="5">
        <f>[1]!IQR(D2:D19,FALSE)</f>
        <v>369.32101749999993</v>
      </c>
    </row>
    <row r="25" spans="1:30" ht="15.75" thickBot="1">
      <c r="G25" t="s">
        <v>19</v>
      </c>
      <c r="H25" t="s">
        <v>26</v>
      </c>
      <c r="I25" t="s">
        <v>28</v>
      </c>
      <c r="K25" t="s">
        <v>15</v>
      </c>
      <c r="U25" t="s">
        <v>63</v>
      </c>
      <c r="X25" t="s">
        <v>39</v>
      </c>
      <c r="Y25">
        <v>0.05</v>
      </c>
    </row>
    <row r="26" spans="1:30" ht="15.75" thickTop="1">
      <c r="F26" t="s">
        <v>55</v>
      </c>
      <c r="G26">
        <v>18</v>
      </c>
      <c r="H26">
        <v>18</v>
      </c>
      <c r="I26">
        <v>18</v>
      </c>
      <c r="U26" s="19" t="s">
        <v>64</v>
      </c>
      <c r="V26" s="19" t="s">
        <v>22</v>
      </c>
      <c r="W26" s="19" t="s">
        <v>7</v>
      </c>
      <c r="X26" s="19" t="s">
        <v>65</v>
      </c>
      <c r="Y26" s="19" t="s">
        <v>66</v>
      </c>
      <c r="Z26" s="19" t="s">
        <v>67</v>
      </c>
    </row>
    <row r="27" spans="1:30" ht="15.75" thickBot="1">
      <c r="F27" t="s">
        <v>34</v>
      </c>
      <c r="G27">
        <v>1684.9716661111108</v>
      </c>
      <c r="H27">
        <v>1417.4050761111112</v>
      </c>
      <c r="I27">
        <v>1514.7379077777778</v>
      </c>
      <c r="K27" t="s">
        <v>68</v>
      </c>
      <c r="P27" t="s">
        <v>69</v>
      </c>
      <c r="Q27">
        <v>0.05</v>
      </c>
      <c r="U27" t="str">
        <f>B1</f>
        <v>DISILICATO</v>
      </c>
      <c r="V27">
        <f>AVERAGE(B2:B19)</f>
        <v>1684.9716661111108</v>
      </c>
      <c r="W27">
        <f>COUNT(B2:B19)</f>
        <v>18</v>
      </c>
      <c r="X27">
        <f>DEVSQ(B2:B19)</f>
        <v>1759771.4443360649</v>
      </c>
    </row>
    <row r="28" spans="1:30" ht="15.75" thickTop="1">
      <c r="F28" t="s">
        <v>9</v>
      </c>
      <c r="G28">
        <v>75.834603401044745</v>
      </c>
      <c r="H28">
        <v>47.42070611969303</v>
      </c>
      <c r="I28">
        <v>62.378702074460982</v>
      </c>
      <c r="K28" s="19" t="s">
        <v>70</v>
      </c>
      <c r="L28" s="19" t="s">
        <v>55</v>
      </c>
      <c r="M28" s="19" t="s">
        <v>53</v>
      </c>
      <c r="N28" s="19" t="s">
        <v>34</v>
      </c>
      <c r="O28" s="19" t="s">
        <v>71</v>
      </c>
      <c r="P28" s="19" t="s">
        <v>72</v>
      </c>
      <c r="Q28" s="19" t="s">
        <v>73</v>
      </c>
      <c r="R28" s="19" t="s">
        <v>74</v>
      </c>
      <c r="S28" s="19" t="s">
        <v>75</v>
      </c>
      <c r="U28" t="str">
        <f>C1</f>
        <v>PMMA</v>
      </c>
      <c r="V28">
        <f>AVERAGE(C2:C19)</f>
        <v>1417.4050761111112</v>
      </c>
      <c r="W28">
        <f>COUNT(C2:C19)</f>
        <v>18</v>
      </c>
      <c r="X28">
        <f>DEVSQ(C2:C19)</f>
        <v>688109.35088043637</v>
      </c>
    </row>
    <row r="29" spans="1:30">
      <c r="F29" t="s">
        <v>10</v>
      </c>
      <c r="G29">
        <v>1703.253295</v>
      </c>
      <c r="H29">
        <v>1425.625305</v>
      </c>
      <c r="I29">
        <v>1533.3344099999999</v>
      </c>
      <c r="K29" t="str">
        <f>B1</f>
        <v>DISILICATO</v>
      </c>
      <c r="L29">
        <f>COUNT(B2:B19)</f>
        <v>18</v>
      </c>
      <c r="M29">
        <f>SUM(B2:B19)</f>
        <v>30329.489989999995</v>
      </c>
      <c r="N29">
        <f>AVERAGE(B2:B19)</f>
        <v>1684.9716661111108</v>
      </c>
      <c r="O29">
        <f>_xlfn.VAR.S(B2:B19)</f>
        <v>103515.96731388744</v>
      </c>
      <c r="P29">
        <f>DEVSQ(B2:B19)</f>
        <v>1759771.4443360649</v>
      </c>
      <c r="Q29">
        <f>SQRT(N36/L29)</f>
        <v>62.956897727409064</v>
      </c>
      <c r="R29">
        <f>N29-Q29*_xlfn.T.INV.2T(Q27,M36)</f>
        <v>1558.5804200041305</v>
      </c>
      <c r="S29">
        <f>N29+Q29*_xlfn.T.INV.2T(Q27,M36)</f>
        <v>1811.3629122180912</v>
      </c>
      <c r="U29" t="str">
        <f>D1</f>
        <v>RESINA</v>
      </c>
      <c r="V29">
        <f>AVERAGE(D2:D19)</f>
        <v>1514.7379077777778</v>
      </c>
      <c r="W29">
        <f>COUNT(D2:D19)</f>
        <v>18</v>
      </c>
      <c r="X29">
        <f>DEVSQ(D2:D19)</f>
        <v>1190677.3565832691</v>
      </c>
    </row>
    <row r="30" spans="1:30">
      <c r="F30" t="s">
        <v>11</v>
      </c>
      <c r="G30">
        <v>2185.38159</v>
      </c>
      <c r="H30">
        <v>1784.2533000000001</v>
      </c>
      <c r="I30">
        <v>1911.2641599999999</v>
      </c>
      <c r="K30" t="str">
        <f>C1</f>
        <v>PMMA</v>
      </c>
      <c r="L30">
        <f>COUNT(C2:C19)</f>
        <v>18</v>
      </c>
      <c r="M30">
        <f>SUM(C2:C19)</f>
        <v>25513.291370000003</v>
      </c>
      <c r="N30">
        <f>AVERAGE(C2:C19)</f>
        <v>1417.4050761111112</v>
      </c>
      <c r="O30">
        <f>_xlfn.VAR.S(C2:C19)</f>
        <v>40477.020640025243</v>
      </c>
      <c r="P30">
        <f>DEVSQ(C2:C19)</f>
        <v>688109.35088043637</v>
      </c>
      <c r="Q30">
        <f>SQRT(N36/L30)</f>
        <v>62.956897727409064</v>
      </c>
      <c r="R30">
        <f>N30-Q30*_xlfn.T.INV.2T(Q27,M36)</f>
        <v>1291.0138300041308</v>
      </c>
      <c r="S30">
        <f>N30+Q30*_xlfn.T.INV.2T(Q27,M36)</f>
        <v>1543.7963222180915</v>
      </c>
      <c r="U30" s="18"/>
      <c r="V30" s="18"/>
      <c r="W30" s="18">
        <f>SUM(W27:W29)</f>
        <v>54</v>
      </c>
      <c r="X30" s="18">
        <f>SUM(X27:X29)</f>
        <v>3638558.1517997701</v>
      </c>
      <c r="Y30" s="18">
        <f>W30-COUNT(W27:W29)</f>
        <v>51</v>
      </c>
      <c r="Z30" s="18">
        <f>[1]!QCRIT(COUNT(W27:W29),Y30,Y25,2)</f>
        <v>3.4138235294117645</v>
      </c>
    </row>
    <row r="31" spans="1:30" ht="15.75" thickBot="1">
      <c r="F31" t="s">
        <v>12</v>
      </c>
      <c r="G31">
        <v>1137.02026</v>
      </c>
      <c r="H31">
        <v>1048.72388</v>
      </c>
      <c r="I31">
        <v>1031.96802</v>
      </c>
      <c r="K31" t="str">
        <f>D1</f>
        <v>RESINA</v>
      </c>
      <c r="L31">
        <f>COUNT(D2:D19)</f>
        <v>18</v>
      </c>
      <c r="M31">
        <f>SUM(D2:D19)</f>
        <v>27265.282339999998</v>
      </c>
      <c r="N31">
        <f>AVERAGE(D2:D19)</f>
        <v>1514.7379077777778</v>
      </c>
      <c r="O31">
        <f>_xlfn.VAR.S(D2:D19)</f>
        <v>70039.84450489853</v>
      </c>
      <c r="P31">
        <f>DEVSQ(D2:D19)</f>
        <v>1190677.3565832691</v>
      </c>
      <c r="Q31">
        <f>SQRT(N36/L31)</f>
        <v>62.956897727409064</v>
      </c>
      <c r="R31">
        <f>N31-Q31*_xlfn.T.INV.2T(Q27,M36)</f>
        <v>1388.3466616707974</v>
      </c>
      <c r="S31">
        <f>N31+Q31*_xlfn.T.INV.2T(Q27,M36)</f>
        <v>1641.1291538847581</v>
      </c>
      <c r="U31" t="s">
        <v>76</v>
      </c>
    </row>
    <row r="32" spans="1:30" ht="15.75" thickTop="1">
      <c r="F32" t="s">
        <v>13</v>
      </c>
      <c r="G32">
        <v>437.02062999999976</v>
      </c>
      <c r="H32">
        <v>246.65601000000015</v>
      </c>
      <c r="I32">
        <v>369.32101749999993</v>
      </c>
      <c r="K32" s="18"/>
      <c r="L32" s="18"/>
      <c r="M32" s="18"/>
      <c r="N32" s="18"/>
      <c r="O32" s="18"/>
      <c r="P32" s="18"/>
      <c r="Q32" s="18"/>
      <c r="R32" s="18"/>
      <c r="S32" s="18"/>
      <c r="U32" s="19" t="s">
        <v>20</v>
      </c>
      <c r="V32" s="19" t="s">
        <v>21</v>
      </c>
      <c r="W32" s="19" t="s">
        <v>22</v>
      </c>
      <c r="X32" s="19" t="s">
        <v>77</v>
      </c>
      <c r="Y32" s="19" t="s">
        <v>78</v>
      </c>
      <c r="Z32" s="19" t="s">
        <v>79</v>
      </c>
      <c r="AA32" s="19" t="s">
        <v>80</v>
      </c>
      <c r="AB32" s="19" t="s">
        <v>23</v>
      </c>
      <c r="AC32" s="19" t="s">
        <v>81</v>
      </c>
      <c r="AD32" s="19" t="s">
        <v>82</v>
      </c>
    </row>
    <row r="33" spans="6:30" ht="15.75" thickBot="1">
      <c r="F33" t="s">
        <v>23</v>
      </c>
      <c r="G33">
        <v>0.52919628308491073</v>
      </c>
      <c r="H33">
        <v>0.99707126164325877</v>
      </c>
      <c r="I33">
        <v>0.53106472672246063</v>
      </c>
      <c r="K33" t="s">
        <v>17</v>
      </c>
      <c r="U33" s="18" t="str">
        <f>U27</f>
        <v>DISILICATO</v>
      </c>
      <c r="V33" s="18" t="str">
        <f>U28</f>
        <v>PMMA</v>
      </c>
      <c r="W33" s="18">
        <f>ABS(V27-V28)</f>
        <v>267.56658999999968</v>
      </c>
      <c r="X33" s="18">
        <f>SQRT(X30/Y30/HARMEAN(W27,W28))</f>
        <v>62.956897727409064</v>
      </c>
      <c r="Y33" s="18">
        <f>W33/X33</f>
        <v>4.2499964207021472</v>
      </c>
      <c r="Z33" s="18">
        <f>W33-X33*Z$30</f>
        <v>52.642851199400582</v>
      </c>
      <c r="AA33" s="18">
        <f>W33+X33*Z$30</f>
        <v>482.49032880059877</v>
      </c>
      <c r="AB33" s="18">
        <f>[1]!QDIST(Y33,COUNT($W$27:$W$29),Y$30)</f>
        <v>1.1263589199205781E-2</v>
      </c>
      <c r="AC33" s="18">
        <f>X33*Z$30</f>
        <v>214.9237388005991</v>
      </c>
      <c r="AD33" s="18">
        <f>W33*SQRT(Y$30/X$30)</f>
        <v>1.0017337630323477</v>
      </c>
    </row>
    <row r="34" spans="6:30" ht="15.75" thickTop="1">
      <c r="K34" s="19" t="s">
        <v>83</v>
      </c>
      <c r="L34" s="19" t="s">
        <v>72</v>
      </c>
      <c r="M34" s="19" t="s">
        <v>66</v>
      </c>
      <c r="N34" s="19" t="s">
        <v>84</v>
      </c>
      <c r="O34" s="19" t="s">
        <v>85</v>
      </c>
      <c r="P34" s="19" t="s">
        <v>86</v>
      </c>
      <c r="Q34" s="19" t="s">
        <v>87</v>
      </c>
      <c r="R34" s="19" t="s">
        <v>88</v>
      </c>
      <c r="S34" s="19" t="s">
        <v>89</v>
      </c>
      <c r="U34" t="str">
        <f>U27</f>
        <v>DISILICATO</v>
      </c>
      <c r="V34" t="str">
        <f>U29</f>
        <v>RESINA</v>
      </c>
      <c r="W34">
        <f>ABS(V27-V29)</f>
        <v>170.23375833333307</v>
      </c>
      <c r="X34">
        <f>SQRT(X30/Y30/HARMEAN(W27,W29))</f>
        <v>62.956897727409064</v>
      </c>
      <c r="Y34">
        <f t="shared" ref="Y34:Y35" si="29">W34/X34</f>
        <v>2.703973106654836</v>
      </c>
      <c r="Z34">
        <f t="shared" ref="Z34:Z35" si="30">W34-X34*Z$30</f>
        <v>-44.689980467266025</v>
      </c>
      <c r="AA34">
        <f t="shared" ref="AA34:AA35" si="31">W34+X34*Z$30</f>
        <v>385.15749713393217</v>
      </c>
      <c r="AB34">
        <f>[1]!QDIST(Y34,COUNT($W$27:$W$29),Y$30)</f>
        <v>0.14564880865098095</v>
      </c>
      <c r="AC34">
        <f t="shared" ref="AC34:AC35" si="32">X34*Z$30</f>
        <v>214.9237388005991</v>
      </c>
      <c r="AD34">
        <f t="shared" ref="AD34:AD35" si="33">W34*SQRT(Y$30/X$30)</f>
        <v>0.63733257328723014</v>
      </c>
    </row>
    <row r="35" spans="6:30">
      <c r="K35" t="s">
        <v>90</v>
      </c>
      <c r="L35">
        <f>L37-L36</f>
        <v>660270.55608462822</v>
      </c>
      <c r="M35">
        <f>COUNTA(K29:K31)-1</f>
        <v>2</v>
      </c>
      <c r="N35">
        <f>L35/M35</f>
        <v>330135.27804231411</v>
      </c>
      <c r="O35">
        <f>N35/N36</f>
        <v>4.6273547041785896</v>
      </c>
      <c r="P35">
        <f>_xlfn.F.DIST.RT(O35,M35,M36)</f>
        <v>1.4232103210130164E-2</v>
      </c>
      <c r="Q35">
        <f>L35/L37</f>
        <v>0.15359312988527288</v>
      </c>
      <c r="R35">
        <f>SQRT(DEVSQ(N29:N31)/(N36*M35))</f>
        <v>0.50702589809915499</v>
      </c>
      <c r="S35">
        <f>(L37-M37*N36)/(L37+N36)</f>
        <v>0.11843512896279275</v>
      </c>
      <c r="U35" s="5" t="str">
        <f>U28</f>
        <v>PMMA</v>
      </c>
      <c r="V35" s="5" t="str">
        <f>U29</f>
        <v>RESINA</v>
      </c>
      <c r="W35" s="5">
        <f>ABS(V28-V29)</f>
        <v>97.332831666666607</v>
      </c>
      <c r="X35" s="5">
        <f>SQRT(X30/Y30/HARMEAN(W28,W29))</f>
        <v>62.956897727409064</v>
      </c>
      <c r="Y35" s="5">
        <f t="shared" si="29"/>
        <v>1.5460233140473114</v>
      </c>
      <c r="Z35" s="5">
        <f t="shared" si="30"/>
        <v>-117.59090713393249</v>
      </c>
      <c r="AA35" s="5">
        <f t="shared" si="31"/>
        <v>312.2565704672657</v>
      </c>
      <c r="AB35" s="5">
        <f>[1]!QDIST(Y35,COUNT($W$27:$W$29),Y$30)</f>
        <v>0.52261849981954656</v>
      </c>
      <c r="AC35" s="5">
        <f t="shared" si="32"/>
        <v>214.9237388005991</v>
      </c>
      <c r="AD35" s="5">
        <f t="shared" si="33"/>
        <v>0.36440118974511776</v>
      </c>
    </row>
    <row r="36" spans="6:30">
      <c r="K36" t="s">
        <v>91</v>
      </c>
      <c r="L36">
        <f>SUM(P29:P31)</f>
        <v>3638558.1517997701</v>
      </c>
      <c r="M36">
        <f>M37-M35</f>
        <v>51</v>
      </c>
      <c r="N36">
        <f>L36/M36</f>
        <v>71344.277486270003</v>
      </c>
    </row>
    <row r="37" spans="6:30">
      <c r="K37" s="5" t="s">
        <v>92</v>
      </c>
      <c r="L37" s="5">
        <f>DEVSQ(B2:D19)</f>
        <v>4298828.7078843983</v>
      </c>
      <c r="M37" s="5">
        <f>COUNT(B2:D19)-1</f>
        <v>53</v>
      </c>
      <c r="N37" s="5">
        <f>L37/M37</f>
        <v>81109.975620460347</v>
      </c>
      <c r="O37" s="5"/>
      <c r="P37" s="5"/>
      <c r="Q37" s="5"/>
      <c r="R37" s="5"/>
      <c r="S37" s="5"/>
    </row>
    <row r="43" spans="6:30" ht="15.75" thickBot="1">
      <c r="R43" t="s">
        <v>76</v>
      </c>
    </row>
    <row r="44" spans="6:30" ht="15.75" thickTop="1">
      <c r="R44" s="19" t="s">
        <v>20</v>
      </c>
      <c r="S44" s="19" t="s">
        <v>21</v>
      </c>
      <c r="T44" s="19" t="s">
        <v>22</v>
      </c>
      <c r="U44" s="19" t="s">
        <v>23</v>
      </c>
    </row>
    <row r="45" spans="6:30">
      <c r="R45" s="18" t="s">
        <v>19</v>
      </c>
      <c r="S45" s="18" t="s">
        <v>26</v>
      </c>
      <c r="T45" s="18">
        <v>267.56658999999968</v>
      </c>
      <c r="U45" s="18">
        <v>1.1263589199205781E-2</v>
      </c>
    </row>
    <row r="46" spans="6:30">
      <c r="R46" t="s">
        <v>19</v>
      </c>
      <c r="S46" t="s">
        <v>28</v>
      </c>
      <c r="T46">
        <v>170.23375833333307</v>
      </c>
      <c r="U46">
        <v>0.14564880865098095</v>
      </c>
    </row>
    <row r="47" spans="6:30">
      <c r="R47" s="5" t="s">
        <v>26</v>
      </c>
      <c r="S47" s="5" t="s">
        <v>28</v>
      </c>
      <c r="T47" s="5">
        <v>97.332831666666607</v>
      </c>
      <c r="U47" s="5">
        <v>0.52261849981954656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78374-56C2-4352-8AEF-25B725B2350B}">
  <dimension ref="A1:A5"/>
  <sheetViews>
    <sheetView workbookViewId="0">
      <selection activeCell="A5" sqref="A5"/>
    </sheetView>
  </sheetViews>
  <sheetFormatPr defaultColWidth="11.42578125" defaultRowHeight="15"/>
  <cols>
    <col min="1" max="1" width="58.85546875" style="2" customWidth="1"/>
    <col min="2" max="16384" width="11.42578125" style="2"/>
  </cols>
  <sheetData>
    <row r="1" spans="1:1" ht="15.75">
      <c r="A1" s="1" t="s">
        <v>93</v>
      </c>
    </row>
    <row r="2" spans="1:1" ht="45.75">
      <c r="A2" s="3" t="s">
        <v>94</v>
      </c>
    </row>
    <row r="3" spans="1:1" ht="15.75">
      <c r="A3" s="4" t="s">
        <v>95</v>
      </c>
    </row>
    <row r="4" spans="1:1" ht="45.75">
      <c r="A4" s="3" t="s">
        <v>96</v>
      </c>
    </row>
    <row r="5" spans="1:1" ht="60.75">
      <c r="A5" s="3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D9003-EBB3-476E-A8D5-104CEBC5343E}">
  <dimension ref="A1:A22"/>
  <sheetViews>
    <sheetView workbookViewId="0">
      <selection sqref="A1:A1048576"/>
    </sheetView>
  </sheetViews>
  <sheetFormatPr defaultColWidth="11.42578125" defaultRowHeight="15"/>
  <sheetData>
    <row r="1" spans="1:1">
      <c r="A1" t="s">
        <v>98</v>
      </c>
    </row>
    <row r="2" spans="1:1">
      <c r="A2" t="s">
        <v>99</v>
      </c>
    </row>
    <row r="3" spans="1:1">
      <c r="A3" t="s">
        <v>30</v>
      </c>
    </row>
    <row r="4" spans="1:1">
      <c r="A4" t="s">
        <v>100</v>
      </c>
    </row>
    <row r="5" spans="1:1">
      <c r="A5" t="s">
        <v>101</v>
      </c>
    </row>
    <row r="6" spans="1:1">
      <c r="A6" t="s">
        <v>102</v>
      </c>
    </row>
    <row r="7" spans="1:1">
      <c r="A7" t="s">
        <v>103</v>
      </c>
    </row>
    <row r="8" spans="1:1">
      <c r="A8" t="s">
        <v>104</v>
      </c>
    </row>
    <row r="9" spans="1:1">
      <c r="A9" t="s">
        <v>105</v>
      </c>
    </row>
    <row r="10" spans="1:1">
      <c r="A10" t="s">
        <v>106</v>
      </c>
    </row>
    <row r="11" spans="1:1">
      <c r="A11" t="s">
        <v>107</v>
      </c>
    </row>
    <row r="12" spans="1:1">
      <c r="A12" t="s">
        <v>108</v>
      </c>
    </row>
    <row r="13" spans="1:1">
      <c r="A13" t="s">
        <v>109</v>
      </c>
    </row>
    <row r="14" spans="1:1">
      <c r="A14" t="s">
        <v>110</v>
      </c>
    </row>
    <row r="15" spans="1:1">
      <c r="A15" t="s">
        <v>111</v>
      </c>
    </row>
    <row r="16" spans="1:1">
      <c r="A16" t="s">
        <v>112</v>
      </c>
    </row>
    <row r="17" spans="1:1">
      <c r="A17" t="s">
        <v>113</v>
      </c>
    </row>
    <row r="18" spans="1:1">
      <c r="A18" t="s">
        <v>114</v>
      </c>
    </row>
    <row r="19" spans="1:1">
      <c r="A19" t="s">
        <v>115</v>
      </c>
    </row>
    <row r="20" spans="1:1">
      <c r="A20" t="s">
        <v>116</v>
      </c>
    </row>
    <row r="21" spans="1:1">
      <c r="A21" t="s">
        <v>117</v>
      </c>
    </row>
    <row r="22" spans="1:1">
      <c r="A2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A7921-554A-4DFB-A52D-AEDF8E15E4E0}">
  <dimension ref="A1:A22"/>
  <sheetViews>
    <sheetView workbookViewId="0">
      <selection sqref="A1:A1048576"/>
    </sheetView>
  </sheetViews>
  <sheetFormatPr defaultColWidth="11.42578125" defaultRowHeight="15"/>
  <sheetData>
    <row r="1" spans="1:1">
      <c r="A1" t="s">
        <v>26</v>
      </c>
    </row>
    <row r="2" spans="1:1">
      <c r="A2" t="s">
        <v>99</v>
      </c>
    </row>
    <row r="3" spans="1:1">
      <c r="A3" t="s">
        <v>30</v>
      </c>
    </row>
    <row r="4" spans="1:1">
      <c r="A4" t="s">
        <v>119</v>
      </c>
    </row>
    <row r="5" spans="1:1">
      <c r="A5" t="s">
        <v>120</v>
      </c>
    </row>
    <row r="6" spans="1:1">
      <c r="A6" t="s">
        <v>121</v>
      </c>
    </row>
    <row r="7" spans="1:1">
      <c r="A7" t="s">
        <v>122</v>
      </c>
    </row>
    <row r="8" spans="1:1">
      <c r="A8" t="s">
        <v>123</v>
      </c>
    </row>
    <row r="9" spans="1:1">
      <c r="A9" t="s">
        <v>124</v>
      </c>
    </row>
    <row r="10" spans="1:1">
      <c r="A10" t="s">
        <v>106</v>
      </c>
    </row>
    <row r="11" spans="1:1">
      <c r="A11" t="s">
        <v>125</v>
      </c>
    </row>
    <row r="12" spans="1:1">
      <c r="A12" t="s">
        <v>126</v>
      </c>
    </row>
    <row r="13" spans="1:1">
      <c r="A13" t="s">
        <v>127</v>
      </c>
    </row>
    <row r="14" spans="1:1">
      <c r="A14" t="s">
        <v>128</v>
      </c>
    </row>
    <row r="15" spans="1:1">
      <c r="A15" t="s">
        <v>129</v>
      </c>
    </row>
    <row r="16" spans="1:1">
      <c r="A16" t="s">
        <v>130</v>
      </c>
    </row>
    <row r="17" spans="1:1">
      <c r="A17" t="s">
        <v>131</v>
      </c>
    </row>
    <row r="18" spans="1:1">
      <c r="A18" t="s">
        <v>132</v>
      </c>
    </row>
    <row r="19" spans="1:1">
      <c r="A19" t="s">
        <v>133</v>
      </c>
    </row>
    <row r="20" spans="1:1">
      <c r="A20" t="s">
        <v>134</v>
      </c>
    </row>
    <row r="21" spans="1:1">
      <c r="A21" t="s">
        <v>135</v>
      </c>
    </row>
    <row r="22" spans="1:1">
      <c r="A22" t="s">
        <v>136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6A7B5-ECA7-4824-8EB7-72483FB32E9D}">
  <dimension ref="A1:A22"/>
  <sheetViews>
    <sheetView workbookViewId="0">
      <selection sqref="A1:A1048576"/>
    </sheetView>
  </sheetViews>
  <sheetFormatPr defaultColWidth="11.42578125" defaultRowHeight="15"/>
  <sheetData>
    <row r="1" spans="1:1">
      <c r="A1" t="s">
        <v>28</v>
      </c>
    </row>
    <row r="2" spans="1:1">
      <c r="A2" t="s">
        <v>99</v>
      </c>
    </row>
    <row r="3" spans="1:1">
      <c r="A3" t="s">
        <v>30</v>
      </c>
    </row>
    <row r="4" spans="1:1">
      <c r="A4" t="s">
        <v>137</v>
      </c>
    </row>
    <row r="5" spans="1:1">
      <c r="A5" t="s">
        <v>138</v>
      </c>
    </row>
    <row r="6" spans="1:1">
      <c r="A6" t="s">
        <v>139</v>
      </c>
    </row>
    <row r="7" spans="1:1">
      <c r="A7" t="s">
        <v>140</v>
      </c>
    </row>
    <row r="8" spans="1:1">
      <c r="A8" t="s">
        <v>141</v>
      </c>
    </row>
    <row r="9" spans="1:1">
      <c r="A9" t="s">
        <v>142</v>
      </c>
    </row>
    <row r="10" spans="1:1">
      <c r="A10" t="s">
        <v>106</v>
      </c>
    </row>
    <row r="11" spans="1:1">
      <c r="A11" t="s">
        <v>143</v>
      </c>
    </row>
    <row r="12" spans="1:1">
      <c r="A12" t="s">
        <v>144</v>
      </c>
    </row>
    <row r="13" spans="1:1">
      <c r="A13" t="s">
        <v>145</v>
      </c>
    </row>
    <row r="14" spans="1:1">
      <c r="A14" t="s">
        <v>146</v>
      </c>
    </row>
    <row r="15" spans="1:1">
      <c r="A15" t="s">
        <v>147</v>
      </c>
    </row>
    <row r="16" spans="1:1">
      <c r="A16" t="s">
        <v>148</v>
      </c>
    </row>
    <row r="17" spans="1:1">
      <c r="A17" t="s">
        <v>149</v>
      </c>
    </row>
    <row r="18" spans="1:1">
      <c r="A18" t="s">
        <v>150</v>
      </c>
    </row>
    <row r="19" spans="1:1">
      <c r="A19" t="s">
        <v>151</v>
      </c>
    </row>
    <row r="20" spans="1:1">
      <c r="A20" t="s">
        <v>152</v>
      </c>
    </row>
    <row r="21" spans="1:1">
      <c r="A21" t="s">
        <v>153</v>
      </c>
    </row>
    <row r="22" spans="1:1">
      <c r="A22" t="s">
        <v>154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A7286AB2A90C7409CA6C9A87F5AB61F" ma:contentTypeVersion="15" ma:contentTypeDescription="Crear nuevo documento." ma:contentTypeScope="" ma:versionID="a75e863c2fd69d9e3e5c6564587d4445">
  <xsd:schema xmlns:xsd="http://www.w3.org/2001/XMLSchema" xmlns:xs="http://www.w3.org/2001/XMLSchema" xmlns:p="http://schemas.microsoft.com/office/2006/metadata/properties" xmlns:ns2="e97c7d5c-3433-40c9-a65f-4ae7ba5ceb7f" xmlns:ns3="63052927-b7c1-4c4c-b47c-8daec9592917" targetNamespace="http://schemas.microsoft.com/office/2006/metadata/properties" ma:root="true" ma:fieldsID="ed82a640261d259419cdfe27208c8ff7" ns2:_="" ns3:_="">
    <xsd:import namespace="e97c7d5c-3433-40c9-a65f-4ae7ba5ceb7f"/>
    <xsd:import namespace="63052927-b7c1-4c4c-b47c-8daec95929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7c7d5c-3433-40c9-a65f-4ae7ba5ceb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41409a9a-6146-49a3-b0cc-bee140049b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052927-b7c1-4c4c-b47c-8daec9592917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e17dbfd-6557-4376-9f6c-c00552e150f7}" ma:internalName="TaxCatchAll" ma:showField="CatchAllData" ma:web="63052927-b7c1-4c4c-b47c-8daec95929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7c7d5c-3433-40c9-a65f-4ae7ba5ceb7f">
      <Terms xmlns="http://schemas.microsoft.com/office/infopath/2007/PartnerControls"/>
    </lcf76f155ced4ddcb4097134ff3c332f>
    <TaxCatchAll xmlns="63052927-b7c1-4c4c-b47c-8daec9592917" xsi:nil="true"/>
  </documentManagement>
</p:properties>
</file>

<file path=customXml/itemProps1.xml><?xml version="1.0" encoding="utf-8"?>
<ds:datastoreItem xmlns:ds="http://schemas.openxmlformats.org/officeDocument/2006/customXml" ds:itemID="{11D1E042-F30B-4BDB-B6F6-CDE526C345D8}"/>
</file>

<file path=customXml/itemProps2.xml><?xml version="1.0" encoding="utf-8"?>
<ds:datastoreItem xmlns:ds="http://schemas.openxmlformats.org/officeDocument/2006/customXml" ds:itemID="{C9318298-B9B4-4E7F-B9C7-455DDCAAE583}"/>
</file>

<file path=customXml/itemProps3.xml><?xml version="1.0" encoding="utf-8"?>
<ds:datastoreItem xmlns:ds="http://schemas.openxmlformats.org/officeDocument/2006/customXml" ds:itemID="{41EAC0F9-D270-4D74-A05C-F06A1D9E6A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panamericana</dc:creator>
  <cp:keywords/>
  <dc:description/>
  <cp:lastModifiedBy/>
  <cp:revision/>
  <dcterms:created xsi:type="dcterms:W3CDTF">2023-04-19T16:47:43Z</dcterms:created>
  <dcterms:modified xsi:type="dcterms:W3CDTF">2024-03-01T15:18:57Z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0x0101009A7286AB2A90C7409CA6C9A87F5AB61F</vt:lpwstr>
  </property>
</Properties>
</file>