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coceduco-my.sharepoint.com/personal/mariza_unicoc_edu_co/Documents/TESIS Petrovic/Presentación final/"/>
    </mc:Choice>
  </mc:AlternateContent>
  <xr:revisionPtr revIDLastSave="0" documentId="13_ncr:1_{1C1FDF53-92EC-4E08-841F-BE06E10D8E23}" xr6:coauthVersionLast="47" xr6:coauthVersionMax="47" xr10:uidLastSave="{00000000-0000-0000-0000-000000000000}"/>
  <bookViews>
    <workbookView xWindow="-120" yWindow="-120" windowWidth="20730" windowHeight="11040" firstSheet="2" activeTab="8" xr2:uid="{1529613A-CCD0-45A7-98EC-73419DC3585A}"/>
  </bookViews>
  <sheets>
    <sheet name="Hoja2" sheetId="8" r:id="rId1"/>
    <sheet name="RESULTADSO" sheetId="12" r:id="rId2"/>
    <sheet name="r" sheetId="10" r:id="rId3"/>
    <sheet name="Hoja5" sheetId="11" r:id="rId4"/>
    <sheet name="Hoja3" sheetId="9" r:id="rId5"/>
    <sheet name="Caracterización (2)" sheetId="7" r:id="rId6"/>
    <sheet name="Pacientes" sheetId="1" r:id="rId7"/>
    <sheet name="Caracterización" sheetId="2" r:id="rId8"/>
    <sheet name="Tablas" sheetId="6" r:id="rId9"/>
  </sheets>
  <externalReferences>
    <externalReference r:id="rId10"/>
  </externalReferences>
  <definedNames>
    <definedName name="_xlnm._FilterDatabase" localSheetId="5" hidden="1">'Caracterización (2)'!$A$1:$R$56</definedName>
    <definedName name="_xlnm._FilterDatabase" localSheetId="4" hidden="1">Hoja3!$AY$1:$BB$1</definedName>
    <definedName name="_xlcn.WorksheetConnection_BasededatospacientesLavergneyPetrovic.xlsxTabla21" hidden="1">Tabla2[]</definedName>
  </definedNames>
  <calcPr calcId="191028"/>
  <pivotCaches>
    <pivotCache cacheId="1" r:id="rId11"/>
    <pivotCache cacheId="2" r:id="rId12"/>
    <pivotCache cacheId="3" r:id="rId13"/>
    <pivotCache cacheId="4" r:id="rId1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a2" name="Tabla2" connection="WorksheetConnection_Base de datos pacientes Lavergne y Petrovic.xlsx!Tabla2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P9" i="9" l="1"/>
  <c r="IP3" i="9"/>
  <c r="IP4" i="9"/>
  <c r="IP5" i="9"/>
  <c r="IP6" i="9"/>
  <c r="IP7" i="9"/>
  <c r="IP8" i="9"/>
  <c r="IP2" i="9"/>
  <c r="IF3" i="9"/>
  <c r="IF4" i="9"/>
  <c r="IF5" i="9"/>
  <c r="IF6" i="9"/>
  <c r="IF7" i="9"/>
  <c r="IF9" i="9" s="1"/>
  <c r="IF8" i="9"/>
  <c r="IF2" i="9"/>
  <c r="IO9" i="9"/>
  <c r="IE9" i="9"/>
  <c r="HT10" i="9"/>
  <c r="HU3" i="9"/>
  <c r="HU4" i="9"/>
  <c r="HU5" i="9"/>
  <c r="HU6" i="9"/>
  <c r="HU7" i="9"/>
  <c r="HU8" i="9"/>
  <c r="HU9" i="9"/>
  <c r="HU2" i="9"/>
  <c r="GH10" i="9"/>
  <c r="GF31" i="9"/>
  <c r="GD10" i="9" s="1"/>
  <c r="GB10" i="9"/>
  <c r="GM10" i="9" s="1"/>
  <c r="GY9" i="9" s="1"/>
  <c r="GB11" i="9"/>
  <c r="GM11" i="9" s="1"/>
  <c r="GY10" i="9" s="1"/>
  <c r="GB12" i="9"/>
  <c r="GM12" i="9" s="1"/>
  <c r="GY11" i="9" s="1"/>
  <c r="GB13" i="9"/>
  <c r="GM13" i="9" s="1"/>
  <c r="GY12" i="9" s="1"/>
  <c r="GB14" i="9"/>
  <c r="GM14" i="9" s="1"/>
  <c r="GY13" i="9" s="1"/>
  <c r="GB15" i="9"/>
  <c r="GM15" i="9" s="1"/>
  <c r="GY14" i="9" s="1"/>
  <c r="GB16" i="9"/>
  <c r="GM16" i="9" s="1"/>
  <c r="GY15" i="9" s="1"/>
  <c r="GB17" i="9"/>
  <c r="GM17" i="9" s="1"/>
  <c r="GY16" i="9" s="1"/>
  <c r="GB18" i="9"/>
  <c r="GM18" i="9" s="1"/>
  <c r="GY17" i="9" s="1"/>
  <c r="GB19" i="9"/>
  <c r="GM19" i="9" s="1"/>
  <c r="GY18" i="9" s="1"/>
  <c r="GB20" i="9"/>
  <c r="GM20" i="9" s="1"/>
  <c r="GY19" i="9" s="1"/>
  <c r="GB21" i="9"/>
  <c r="GM21" i="9" s="1"/>
  <c r="GY20" i="9" s="1"/>
  <c r="GB22" i="9"/>
  <c r="GM22" i="9" s="1"/>
  <c r="GY21" i="9" s="1"/>
  <c r="GB23" i="9"/>
  <c r="GM23" i="9" s="1"/>
  <c r="GY22" i="9" s="1"/>
  <c r="GB24" i="9"/>
  <c r="GM24" i="9" s="1"/>
  <c r="GY23" i="9" s="1"/>
  <c r="GB25" i="9"/>
  <c r="GM25" i="9" s="1"/>
  <c r="GY24" i="9" s="1"/>
  <c r="GB26" i="9"/>
  <c r="GM26" i="9" s="1"/>
  <c r="GY25" i="9" s="1"/>
  <c r="GB27" i="9"/>
  <c r="GM27" i="9" s="1"/>
  <c r="GY26" i="9" s="1"/>
  <c r="GB28" i="9"/>
  <c r="GM28" i="9" s="1"/>
  <c r="GY27" i="9" s="1"/>
  <c r="GB29" i="9"/>
  <c r="GM29" i="9" s="1"/>
  <c r="GY28" i="9" s="1"/>
  <c r="GB30" i="9"/>
  <c r="GM30" i="9" s="1"/>
  <c r="GY29" i="9" s="1"/>
  <c r="GB9" i="9"/>
  <c r="GM9" i="9" s="1"/>
  <c r="GY8" i="9" s="1"/>
  <c r="GD8" i="9"/>
  <c r="GE8" i="9"/>
  <c r="GC8" i="9"/>
  <c r="FQ8" i="9"/>
  <c r="FP8" i="9"/>
  <c r="FK29" i="9"/>
  <c r="FL29" i="9"/>
  <c r="FJ29" i="9"/>
  <c r="FM8" i="9"/>
  <c r="FM9" i="9"/>
  <c r="FM10" i="9"/>
  <c r="FM11" i="9"/>
  <c r="FM12" i="9"/>
  <c r="FM13" i="9"/>
  <c r="FM14" i="9"/>
  <c r="FM15" i="9"/>
  <c r="FM16" i="9"/>
  <c r="FM17" i="9"/>
  <c r="FM18" i="9"/>
  <c r="FM19" i="9"/>
  <c r="FM20" i="9"/>
  <c r="FM21" i="9"/>
  <c r="FM22" i="9"/>
  <c r="FM23" i="9"/>
  <c r="FM24" i="9"/>
  <c r="FM25" i="9"/>
  <c r="FM26" i="9"/>
  <c r="FM27" i="9"/>
  <c r="FM28" i="9"/>
  <c r="FM7" i="9"/>
  <c r="FI7" i="9"/>
  <c r="FI8" i="9"/>
  <c r="FI9" i="9"/>
  <c r="FI10" i="9"/>
  <c r="FI11" i="9"/>
  <c r="FI12" i="9"/>
  <c r="FI13" i="9"/>
  <c r="FI14" i="9"/>
  <c r="FI15" i="9"/>
  <c r="FI16" i="9"/>
  <c r="FI17" i="9"/>
  <c r="FI18" i="9"/>
  <c r="FI19" i="9"/>
  <c r="FI20" i="9"/>
  <c r="FI21" i="9"/>
  <c r="FI22" i="9"/>
  <c r="FI23" i="9"/>
  <c r="FI24" i="9"/>
  <c r="FI25" i="9"/>
  <c r="FI26" i="9"/>
  <c r="FI27" i="9"/>
  <c r="FI28" i="9"/>
  <c r="FJ6" i="9"/>
  <c r="FK6" i="9"/>
  <c r="FL6" i="9"/>
  <c r="FI6" i="9"/>
  <c r="IU2" i="9" a="1"/>
  <c r="IK2" i="9" a="1"/>
  <c r="GR36" i="9" a="1"/>
  <c r="GR9" i="9" a="1"/>
  <c r="GI9" i="9" a="1"/>
  <c r="IU2" i="9" l="1"/>
  <c r="IK2" i="9"/>
  <c r="HU10" i="9"/>
  <c r="FR8" i="9"/>
  <c r="GE17" i="9"/>
  <c r="GM36" i="9" a="1"/>
  <c r="GM36" i="9" s="1"/>
  <c r="GY30" i="9" s="1"/>
  <c r="GC26" i="9"/>
  <c r="GD19" i="9"/>
  <c r="GE25" i="9"/>
  <c r="GE9" i="9"/>
  <c r="GE24" i="9"/>
  <c r="GC15" i="9"/>
  <c r="GD9" i="9"/>
  <c r="GD23" i="9"/>
  <c r="GD12" i="9"/>
  <c r="GC30" i="9"/>
  <c r="GC23" i="9"/>
  <c r="GE28" i="9"/>
  <c r="GC22" i="9"/>
  <c r="GD28" i="9"/>
  <c r="GE20" i="9"/>
  <c r="GD27" i="9"/>
  <c r="GD20" i="9"/>
  <c r="GC18" i="9"/>
  <c r="GD15" i="9"/>
  <c r="GE12" i="9"/>
  <c r="GC10" i="9"/>
  <c r="GE30" i="9"/>
  <c r="GC28" i="9"/>
  <c r="GD25" i="9"/>
  <c r="GE22" i="9"/>
  <c r="GC20" i="9"/>
  <c r="GD17" i="9"/>
  <c r="GE14" i="9"/>
  <c r="GC12" i="9"/>
  <c r="GD30" i="9"/>
  <c r="GE27" i="9"/>
  <c r="GC25" i="9"/>
  <c r="GD22" i="9"/>
  <c r="GE19" i="9"/>
  <c r="GC17" i="9"/>
  <c r="GD14" i="9"/>
  <c r="GE11" i="9"/>
  <c r="GE16" i="9"/>
  <c r="GC14" i="9"/>
  <c r="GD11" i="9"/>
  <c r="GE29" i="9"/>
  <c r="GC27" i="9"/>
  <c r="GD24" i="9"/>
  <c r="GE21" i="9"/>
  <c r="GC19" i="9"/>
  <c r="GD16" i="9"/>
  <c r="GE13" i="9"/>
  <c r="GC11" i="9"/>
  <c r="GD29" i="9"/>
  <c r="GE26" i="9"/>
  <c r="GC24" i="9"/>
  <c r="GD21" i="9"/>
  <c r="GE18" i="9"/>
  <c r="GC16" i="9"/>
  <c r="GD13" i="9"/>
  <c r="GE10" i="9"/>
  <c r="FM29" i="9"/>
  <c r="FO8" i="9" s="1"/>
  <c r="GC9" i="9"/>
  <c r="GC29" i="9"/>
  <c r="GD26" i="9"/>
  <c r="GE23" i="9"/>
  <c r="GC21" i="9"/>
  <c r="GD18" i="9"/>
  <c r="GE15" i="9"/>
  <c r="GC13" i="9"/>
  <c r="GR36" i="9"/>
  <c r="GS36" i="9"/>
  <c r="GS38" i="9"/>
  <c r="GR37" i="9"/>
  <c r="GS37" i="9"/>
  <c r="GR38" i="9"/>
  <c r="GS12" i="9"/>
  <c r="GS16" i="9"/>
  <c r="GS20" i="9"/>
  <c r="GS24" i="9"/>
  <c r="GS28" i="9"/>
  <c r="GS22" i="9"/>
  <c r="GR16" i="9"/>
  <c r="GR9" i="9"/>
  <c r="GR13" i="9"/>
  <c r="GR17" i="9"/>
  <c r="GR21" i="9"/>
  <c r="GR25" i="9"/>
  <c r="GR29" i="9"/>
  <c r="GS10" i="9"/>
  <c r="GS9" i="9"/>
  <c r="GS13" i="9"/>
  <c r="GS17" i="9"/>
  <c r="GS21" i="9"/>
  <c r="GS25" i="9"/>
  <c r="GS29" i="9"/>
  <c r="GS14" i="9"/>
  <c r="GS26" i="9"/>
  <c r="GR20" i="9"/>
  <c r="GR10" i="9"/>
  <c r="GR14" i="9"/>
  <c r="GR18" i="9"/>
  <c r="GR22" i="9"/>
  <c r="GR26" i="9"/>
  <c r="GR30" i="9"/>
  <c r="GS18" i="9"/>
  <c r="GS30" i="9"/>
  <c r="GR24" i="9"/>
  <c r="GR11" i="9"/>
  <c r="GR15" i="9"/>
  <c r="GR19" i="9"/>
  <c r="GR23" i="9"/>
  <c r="GR27" i="9"/>
  <c r="GR28" i="9"/>
  <c r="GS11" i="9"/>
  <c r="GS15" i="9"/>
  <c r="GS19" i="9"/>
  <c r="GS23" i="9"/>
  <c r="GS27" i="9"/>
  <c r="GR12" i="9"/>
  <c r="GI9" i="9"/>
  <c r="GI10" i="9"/>
  <c r="CN2" i="9"/>
  <c r="CO2" i="9" s="1"/>
  <c r="CJ2" i="9"/>
  <c r="CK2" i="9" s="1"/>
  <c r="CE4" i="9"/>
  <c r="CE5" i="9" s="1"/>
  <c r="CE6" i="9" s="1"/>
  <c r="CE7" i="9" s="1"/>
  <c r="CE8" i="9" s="1"/>
  <c r="CE9" i="9" s="1"/>
  <c r="CE10" i="9" s="1"/>
  <c r="CE11" i="9" s="1"/>
  <c r="CE12" i="9" s="1"/>
  <c r="CE13" i="9" s="1"/>
  <c r="CE14" i="9" s="1"/>
  <c r="CE15" i="9" s="1"/>
  <c r="CE16" i="9" s="1"/>
  <c r="CE17" i="9" s="1"/>
  <c r="CE18" i="9" s="1"/>
  <c r="CE19" i="9" s="1"/>
  <c r="CE20" i="9" s="1"/>
  <c r="CE21" i="9" s="1"/>
  <c r="CE22" i="9" s="1"/>
  <c r="CE23" i="9" s="1"/>
  <c r="CE24" i="9" s="1"/>
  <c r="CE25" i="9" s="1"/>
  <c r="CE26" i="9" s="1"/>
  <c r="CE27" i="9" s="1"/>
  <c r="CE28" i="9" s="1"/>
  <c r="CE29" i="9" s="1"/>
  <c r="CE30" i="9" s="1"/>
  <c r="CE31" i="9" s="1"/>
  <c r="CE32" i="9" s="1"/>
  <c r="CE33" i="9" s="1"/>
  <c r="CE34" i="9" s="1"/>
  <c r="CE35" i="9" s="1"/>
  <c r="CE36" i="9" s="1"/>
  <c r="CE37" i="9" s="1"/>
  <c r="CE38" i="9" s="1"/>
  <c r="CE39" i="9" s="1"/>
  <c r="CE40" i="9" s="1"/>
  <c r="CE41" i="9" s="1"/>
  <c r="CE42" i="9" s="1"/>
  <c r="CE43" i="9" s="1"/>
  <c r="CE44" i="9" s="1"/>
  <c r="CE45" i="9" s="1"/>
  <c r="CE46" i="9" s="1"/>
  <c r="CE47" i="9" s="1"/>
  <c r="CE48" i="9" s="1"/>
  <c r="CE49" i="9" s="1"/>
  <c r="CE50" i="9" s="1"/>
  <c r="CE51" i="9" s="1"/>
  <c r="CE52" i="9" s="1"/>
  <c r="CE53" i="9" s="1"/>
  <c r="CE54" i="9" s="1"/>
  <c r="CE55" i="9" s="1"/>
  <c r="CE56" i="9" s="1"/>
  <c r="CE57" i="9" s="1"/>
  <c r="HZ2" i="9" a="1"/>
  <c r="FR12" i="9"/>
  <c r="FR13" i="9"/>
  <c r="CZ24" i="9" a="1"/>
  <c r="CV4" i="9" a="1"/>
  <c r="CF3" i="9" a="1"/>
  <c r="GF30" i="9" l="1"/>
  <c r="GO30" i="9" s="1"/>
  <c r="HZ2" i="9"/>
  <c r="GF26" i="9"/>
  <c r="GO26" i="9" s="1"/>
  <c r="GM37" i="9"/>
  <c r="GY31" i="9" s="1"/>
  <c r="GM38" i="9"/>
  <c r="GY32" i="9" s="1"/>
  <c r="GF23" i="9"/>
  <c r="GO23" i="9" s="1"/>
  <c r="GV23" i="9" s="1"/>
  <c r="GF12" i="9"/>
  <c r="GO12" i="9" s="1"/>
  <c r="GV12" i="9" s="1"/>
  <c r="GF20" i="9"/>
  <c r="GO20" i="9" s="1"/>
  <c r="GV20" i="9" s="1"/>
  <c r="GF28" i="9"/>
  <c r="GO28" i="9" s="1"/>
  <c r="GW28" i="9" s="1"/>
  <c r="FJ7" i="9" a="1"/>
  <c r="FJ7" i="9" s="1"/>
  <c r="GF27" i="9"/>
  <c r="GO27" i="9" s="1"/>
  <c r="GF15" i="9"/>
  <c r="GO15" i="9" s="1"/>
  <c r="GW15" i="9" s="1"/>
  <c r="GF22" i="9"/>
  <c r="GO22" i="9" s="1"/>
  <c r="GW22" i="9" s="1"/>
  <c r="GE31" i="9"/>
  <c r="GF11" i="9"/>
  <c r="GO11" i="9" s="1"/>
  <c r="GW11" i="9" s="1"/>
  <c r="GD31" i="9"/>
  <c r="GW30" i="9"/>
  <c r="GV30" i="9"/>
  <c r="GW26" i="9"/>
  <c r="GV26" i="9"/>
  <c r="HA26" i="9"/>
  <c r="HA24" i="9"/>
  <c r="HA31" i="9"/>
  <c r="GF16" i="9"/>
  <c r="GO16" i="9" s="1"/>
  <c r="HA22" i="9"/>
  <c r="GZ14" i="9"/>
  <c r="GZ17" i="9"/>
  <c r="HA20" i="9"/>
  <c r="GZ16" i="9"/>
  <c r="HA15" i="9"/>
  <c r="GZ31" i="9"/>
  <c r="GF19" i="9"/>
  <c r="GO19" i="9" s="1"/>
  <c r="GF18" i="9"/>
  <c r="GO18" i="9" s="1"/>
  <c r="GF29" i="9"/>
  <c r="GO29" i="9" s="1"/>
  <c r="GF17" i="9"/>
  <c r="GO17" i="9" s="1"/>
  <c r="GZ18" i="9"/>
  <c r="GZ21" i="9"/>
  <c r="GZ20" i="9"/>
  <c r="HA19" i="9"/>
  <c r="GF21" i="9"/>
  <c r="GO21" i="9" s="1"/>
  <c r="HA18" i="9"/>
  <c r="GZ10" i="9"/>
  <c r="GZ13" i="9"/>
  <c r="HA16" i="9"/>
  <c r="GZ12" i="9"/>
  <c r="HA11" i="9"/>
  <c r="HA32" i="9"/>
  <c r="GZ23" i="9"/>
  <c r="GF24" i="9"/>
  <c r="GO24" i="9" s="1"/>
  <c r="GZ30" i="9"/>
  <c r="GV27" i="9"/>
  <c r="GW27" i="9"/>
  <c r="GZ9" i="9"/>
  <c r="HA12" i="9"/>
  <c r="GZ8" i="9"/>
  <c r="HA30" i="9"/>
  <c r="HA10" i="9"/>
  <c r="HA29" i="9"/>
  <c r="GZ19" i="9"/>
  <c r="HA8" i="9"/>
  <c r="GZ15" i="9"/>
  <c r="GC31" i="9"/>
  <c r="GF9" i="9"/>
  <c r="GO9" i="9" s="1"/>
  <c r="GI11" i="9"/>
  <c r="GJ10" i="9" s="1"/>
  <c r="GZ27" i="9"/>
  <c r="HA17" i="9"/>
  <c r="HA25" i="9"/>
  <c r="HA9" i="9"/>
  <c r="HA21" i="9"/>
  <c r="GF13" i="9"/>
  <c r="GO13" i="9" s="1"/>
  <c r="GV11" i="9"/>
  <c r="GF10" i="9"/>
  <c r="GO10" i="9" s="1"/>
  <c r="HA14" i="9"/>
  <c r="GZ26" i="9"/>
  <c r="GZ29" i="9"/>
  <c r="HA13" i="9"/>
  <c r="GZ28" i="9"/>
  <c r="HA27" i="9"/>
  <c r="GF25" i="9"/>
  <c r="GO25" i="9" s="1"/>
  <c r="GZ11" i="9"/>
  <c r="GZ22" i="9"/>
  <c r="GZ25" i="9"/>
  <c r="HA28" i="9"/>
  <c r="GZ24" i="9"/>
  <c r="HA23" i="9"/>
  <c r="GZ32" i="9"/>
  <c r="GF14" i="9"/>
  <c r="GO14" i="9" s="1"/>
  <c r="DA25" i="9"/>
  <c r="CZ28" i="9"/>
  <c r="DB30" i="9"/>
  <c r="DA33" i="9"/>
  <c r="CZ36" i="9"/>
  <c r="DB38" i="9"/>
  <c r="DA41" i="9"/>
  <c r="CZ44" i="9"/>
  <c r="DB46" i="9"/>
  <c r="DA49" i="9"/>
  <c r="DB28" i="9"/>
  <c r="CZ34" i="9"/>
  <c r="DA39" i="9"/>
  <c r="DB44" i="9"/>
  <c r="CZ50" i="9"/>
  <c r="DA26" i="9"/>
  <c r="CZ29" i="9"/>
  <c r="DB31" i="9"/>
  <c r="DA34" i="9"/>
  <c r="CZ37" i="9"/>
  <c r="DB39" i="9"/>
  <c r="DA42" i="9"/>
  <c r="CZ45" i="9"/>
  <c r="DB47" i="9"/>
  <c r="DA50" i="9"/>
  <c r="CZ24" i="9"/>
  <c r="DB26" i="9"/>
  <c r="DA29" i="9"/>
  <c r="CZ32" i="9"/>
  <c r="DB34" i="9"/>
  <c r="DA37" i="9"/>
  <c r="CZ40" i="9"/>
  <c r="DB42" i="9"/>
  <c r="DA45" i="9"/>
  <c r="CZ48" i="9"/>
  <c r="DB50" i="9"/>
  <c r="DA24" i="9"/>
  <c r="CZ27" i="9"/>
  <c r="DB29" i="9"/>
  <c r="DA32" i="9"/>
  <c r="CZ35" i="9"/>
  <c r="DB37" i="9"/>
  <c r="DA40" i="9"/>
  <c r="CZ43" i="9"/>
  <c r="DB45" i="9"/>
  <c r="DA48" i="9"/>
  <c r="DB24" i="9"/>
  <c r="DA27" i="9"/>
  <c r="CZ30" i="9"/>
  <c r="DB32" i="9"/>
  <c r="DA35" i="9"/>
  <c r="CZ38" i="9"/>
  <c r="DB40" i="9"/>
  <c r="DA43" i="9"/>
  <c r="CZ46" i="9"/>
  <c r="DB48" i="9"/>
  <c r="CZ25" i="9"/>
  <c r="DB27" i="9"/>
  <c r="DA30" i="9"/>
  <c r="DB35" i="9"/>
  <c r="DA38" i="9"/>
  <c r="CZ41" i="9"/>
  <c r="DB43" i="9"/>
  <c r="CZ49" i="9"/>
  <c r="DB25" i="9"/>
  <c r="DA28" i="9"/>
  <c r="CZ31" i="9"/>
  <c r="DB33" i="9"/>
  <c r="DA36" i="9"/>
  <c r="CZ39" i="9"/>
  <c r="DB41" i="9"/>
  <c r="DA44" i="9"/>
  <c r="CZ47" i="9"/>
  <c r="DB49" i="9"/>
  <c r="CZ26" i="9"/>
  <c r="DA31" i="9"/>
  <c r="DB36" i="9"/>
  <c r="CZ42" i="9"/>
  <c r="DA47" i="9"/>
  <c r="CZ33" i="9"/>
  <c r="DA46" i="9"/>
  <c r="CV4" i="9"/>
  <c r="CX6" i="9"/>
  <c r="CW9" i="9"/>
  <c r="CV12" i="9"/>
  <c r="CX14" i="9"/>
  <c r="CW17" i="9"/>
  <c r="CV20" i="9"/>
  <c r="CX22" i="9"/>
  <c r="CW25" i="9"/>
  <c r="CV28" i="9"/>
  <c r="CX30" i="9"/>
  <c r="CV7" i="9"/>
  <c r="CX9" i="9"/>
  <c r="CW12" i="9"/>
  <c r="CV15" i="9"/>
  <c r="CX17" i="9"/>
  <c r="CW20" i="9"/>
  <c r="CV23" i="9"/>
  <c r="CX25" i="9"/>
  <c r="CW28" i="9"/>
  <c r="CX4" i="9"/>
  <c r="CW7" i="9"/>
  <c r="CV10" i="9"/>
  <c r="CX12" i="9"/>
  <c r="CW15" i="9"/>
  <c r="CV18" i="9"/>
  <c r="CX20" i="9"/>
  <c r="CW23" i="9"/>
  <c r="CV26" i="9"/>
  <c r="CX28" i="9"/>
  <c r="CX7" i="9"/>
  <c r="CW10" i="9"/>
  <c r="CX15" i="9"/>
  <c r="CW18" i="9"/>
  <c r="CV21" i="9"/>
  <c r="CX23" i="9"/>
  <c r="CW26" i="9"/>
  <c r="CV29" i="9"/>
  <c r="CW6" i="9"/>
  <c r="CV25" i="9"/>
  <c r="CW4" i="9"/>
  <c r="CV8" i="9"/>
  <c r="CX10" i="9"/>
  <c r="CV16" i="9"/>
  <c r="CW21" i="9"/>
  <c r="CX26" i="9"/>
  <c r="CV11" i="9"/>
  <c r="CV19" i="9"/>
  <c r="CW24" i="9"/>
  <c r="CX29" i="9"/>
  <c r="CW11" i="9"/>
  <c r="CV30" i="9"/>
  <c r="CX27" i="9"/>
  <c r="CW29" i="9"/>
  <c r="CW27" i="9"/>
  <c r="CX19" i="9"/>
  <c r="CV5" i="9"/>
  <c r="CV13" i="9"/>
  <c r="CW13" i="9"/>
  <c r="CX18" i="9"/>
  <c r="CV24" i="9"/>
  <c r="CW8" i="9"/>
  <c r="CW16" i="9"/>
  <c r="CX21" i="9"/>
  <c r="CV27" i="9"/>
  <c r="CX8" i="9"/>
  <c r="CW19" i="9"/>
  <c r="CV17" i="9"/>
  <c r="CW5" i="9"/>
  <c r="CV6" i="9"/>
  <c r="CX16" i="9"/>
  <c r="CX24" i="9"/>
  <c r="CX11" i="9"/>
  <c r="CW22" i="9"/>
  <c r="CX5" i="9"/>
  <c r="CX13" i="9"/>
  <c r="CV14" i="9"/>
  <c r="CV22" i="9"/>
  <c r="CV9" i="9"/>
  <c r="CW14" i="9"/>
  <c r="CW30" i="9"/>
  <c r="CF10" i="9"/>
  <c r="CF18" i="9"/>
  <c r="CF26" i="9"/>
  <c r="CF34" i="9"/>
  <c r="CF42" i="9"/>
  <c r="CF50" i="9"/>
  <c r="CF38" i="9"/>
  <c r="CF54" i="9"/>
  <c r="CF32" i="9"/>
  <c r="CF56" i="9"/>
  <c r="CF17" i="9"/>
  <c r="CF49" i="9"/>
  <c r="CF3" i="9"/>
  <c r="CF11" i="9"/>
  <c r="CF19" i="9"/>
  <c r="CF27" i="9"/>
  <c r="CF35" i="9"/>
  <c r="CF43" i="9"/>
  <c r="CF51" i="9"/>
  <c r="CF4" i="9"/>
  <c r="CF12" i="9"/>
  <c r="CF20" i="9"/>
  <c r="CF28" i="9"/>
  <c r="CF36" i="9"/>
  <c r="CF44" i="9"/>
  <c r="CF13" i="9"/>
  <c r="CF21" i="9"/>
  <c r="CF29" i="9"/>
  <c r="CF37" i="9"/>
  <c r="CF45" i="9"/>
  <c r="CF53" i="9"/>
  <c r="CF14" i="9"/>
  <c r="CF22" i="9"/>
  <c r="CF52" i="9"/>
  <c r="CF30" i="9"/>
  <c r="CF25" i="9"/>
  <c r="CF57" i="9"/>
  <c r="CF5" i="9"/>
  <c r="CF46" i="9"/>
  <c r="CF48" i="9"/>
  <c r="CF33" i="9"/>
  <c r="CF6" i="9"/>
  <c r="CF7" i="9"/>
  <c r="CF15" i="9"/>
  <c r="CF23" i="9"/>
  <c r="CF31" i="9"/>
  <c r="CF39" i="9"/>
  <c r="CF47" i="9"/>
  <c r="CF55" i="9"/>
  <c r="CF8" i="9"/>
  <c r="CF16" i="9"/>
  <c r="CF24" i="9"/>
  <c r="CF40" i="9"/>
  <c r="CF9" i="9"/>
  <c r="CF41" i="9"/>
  <c r="DO28" i="9"/>
  <c r="DP28" i="9"/>
  <c r="DQ28" i="9"/>
  <c r="EA27" i="9"/>
  <c r="EA28" i="9"/>
  <c r="EA29" i="9"/>
  <c r="DW28" i="9" a="1"/>
  <c r="DT28" i="9" a="1"/>
  <c r="DK8" i="9"/>
  <c r="DL8" i="9"/>
  <c r="DM8" i="9"/>
  <c r="EB6" i="9"/>
  <c r="EB7" i="9"/>
  <c r="EB8" i="9"/>
  <c r="CI14" i="9"/>
  <c r="GW12" i="9" l="1"/>
  <c r="GO36" i="9" a="1"/>
  <c r="GW23" i="9"/>
  <c r="GP10" i="9"/>
  <c r="GT10" i="9" s="1"/>
  <c r="GP14" i="9"/>
  <c r="GU14" i="9" s="1"/>
  <c r="GW20" i="9"/>
  <c r="GV28" i="9"/>
  <c r="GP17" i="9"/>
  <c r="GT17" i="9" s="1"/>
  <c r="GP13" i="9"/>
  <c r="GU13" i="9" s="1"/>
  <c r="GJ9" i="9"/>
  <c r="GK9" i="9" s="1"/>
  <c r="GK10" i="9" s="1"/>
  <c r="GV15" i="9"/>
  <c r="FJ18" i="9"/>
  <c r="FJ27" i="9"/>
  <c r="FJ22" i="9"/>
  <c r="FJ10" i="9"/>
  <c r="FL15" i="9"/>
  <c r="FL16" i="9"/>
  <c r="FK18" i="9"/>
  <c r="FK12" i="9"/>
  <c r="FK17" i="9"/>
  <c r="FK25" i="9"/>
  <c r="FK14" i="9"/>
  <c r="FK26" i="9"/>
  <c r="FJ28" i="9"/>
  <c r="FK13" i="9"/>
  <c r="FL13" i="9"/>
  <c r="FL24" i="9"/>
  <c r="FL28" i="9"/>
  <c r="FJ23" i="9"/>
  <c r="FJ26" i="9"/>
  <c r="FJ19" i="9"/>
  <c r="FK15" i="9"/>
  <c r="FK11" i="9"/>
  <c r="FL22" i="9"/>
  <c r="FL14" i="9"/>
  <c r="FK19" i="9"/>
  <c r="FJ21" i="9"/>
  <c r="FL18" i="9"/>
  <c r="FK21" i="9"/>
  <c r="FL8" i="9"/>
  <c r="FJ12" i="9"/>
  <c r="FK23" i="9"/>
  <c r="FK20" i="9"/>
  <c r="FK24" i="9"/>
  <c r="FJ25" i="9"/>
  <c r="FL12" i="9"/>
  <c r="FJ16" i="9"/>
  <c r="FK8" i="9"/>
  <c r="FL11" i="9"/>
  <c r="FL23" i="9"/>
  <c r="FJ15" i="9"/>
  <c r="FJ11" i="9"/>
  <c r="FK28" i="9"/>
  <c r="FK27" i="9"/>
  <c r="FL20" i="9"/>
  <c r="GP11" i="9"/>
  <c r="GU11" i="9" s="1"/>
  <c r="FL26" i="9"/>
  <c r="FJ20" i="9"/>
  <c r="FL27" i="9"/>
  <c r="FK9" i="9"/>
  <c r="FL21" i="9"/>
  <c r="FL10" i="9"/>
  <c r="GV22" i="9"/>
  <c r="FL19" i="9"/>
  <c r="FL9" i="9"/>
  <c r="FK7" i="9"/>
  <c r="FK16" i="9"/>
  <c r="FJ17" i="9"/>
  <c r="FK10" i="9"/>
  <c r="FK22" i="9"/>
  <c r="FL17" i="9"/>
  <c r="FJ13" i="9"/>
  <c r="FL25" i="9"/>
  <c r="FJ8" i="9"/>
  <c r="FJ14" i="9"/>
  <c r="FJ24" i="9"/>
  <c r="FL7" i="9"/>
  <c r="FJ9" i="9"/>
  <c r="GV25" i="9"/>
  <c r="GW25" i="9"/>
  <c r="GP12" i="9"/>
  <c r="GV29" i="9"/>
  <c r="GW29" i="9"/>
  <c r="GV16" i="9"/>
  <c r="GW16" i="9"/>
  <c r="GP26" i="9"/>
  <c r="GP36" i="9"/>
  <c r="GP16" i="9"/>
  <c r="GP9" i="9"/>
  <c r="GV21" i="9"/>
  <c r="GW21" i="9"/>
  <c r="GP28" i="9"/>
  <c r="GV9" i="9"/>
  <c r="GW9" i="9"/>
  <c r="GV24" i="9"/>
  <c r="GW24" i="9"/>
  <c r="GP21" i="9"/>
  <c r="GP19" i="9"/>
  <c r="GV19" i="9"/>
  <c r="GW19" i="9"/>
  <c r="GP22" i="9"/>
  <c r="GP37" i="9"/>
  <c r="GO36" i="9"/>
  <c r="GO38" i="9"/>
  <c r="GO37" i="9"/>
  <c r="GP24" i="9"/>
  <c r="GP30" i="9"/>
  <c r="GW10" i="9"/>
  <c r="GV10" i="9"/>
  <c r="GV13" i="9"/>
  <c r="GW13" i="9"/>
  <c r="GP27" i="9"/>
  <c r="GV17" i="9"/>
  <c r="GW17" i="9"/>
  <c r="GP18" i="9"/>
  <c r="GP23" i="9"/>
  <c r="GW14" i="9"/>
  <c r="GV14" i="9"/>
  <c r="GP25" i="9"/>
  <c r="GP20" i="9"/>
  <c r="GP29" i="9"/>
  <c r="GW18" i="9"/>
  <c r="GV18" i="9"/>
  <c r="GP15" i="9"/>
  <c r="GP38" i="9"/>
  <c r="DU28" i="9"/>
  <c r="DT29" i="9"/>
  <c r="DU29" i="9"/>
  <c r="DT30" i="9"/>
  <c r="DU30" i="9"/>
  <c r="DU31" i="9"/>
  <c r="DU32" i="9" s="1"/>
  <c r="DT28" i="9"/>
  <c r="DT31" i="9"/>
  <c r="DX30" i="9"/>
  <c r="DX28" i="9"/>
  <c r="DW29" i="9"/>
  <c r="DX29" i="9"/>
  <c r="DW28" i="9"/>
  <c r="DW30" i="9"/>
  <c r="DW31" i="9"/>
  <c r="DX31" i="9"/>
  <c r="DX32" i="9" s="1"/>
  <c r="DQ26" i="9"/>
  <c r="DD30" i="9"/>
  <c r="EA6" i="9"/>
  <c r="CZ8" i="9"/>
  <c r="DP6" i="9"/>
  <c r="DK6" i="9"/>
  <c r="EC6" i="9"/>
  <c r="DS6" i="9"/>
  <c r="DK7" i="9"/>
  <c r="DR6" i="9"/>
  <c r="DA8" i="9"/>
  <c r="DK9" i="9"/>
  <c r="DK10" i="9" s="1"/>
  <c r="DE8" i="9"/>
  <c r="DQ6" i="9"/>
  <c r="DA16" i="9"/>
  <c r="DD8" i="9"/>
  <c r="DC8" i="9"/>
  <c r="DB16" i="9"/>
  <c r="DB8" i="9"/>
  <c r="DP7" i="9"/>
  <c r="DL6" i="9"/>
  <c r="CZ9" i="9"/>
  <c r="EA7" i="9"/>
  <c r="DQ27" i="9"/>
  <c r="DF30" i="9"/>
  <c r="DE30" i="9"/>
  <c r="DQ29" i="9"/>
  <c r="DQ30" i="9" s="1"/>
  <c r="DI30" i="9"/>
  <c r="DG30" i="9"/>
  <c r="DH30" i="9"/>
  <c r="DO27" i="9"/>
  <c r="DF36" i="9"/>
  <c r="DI28" i="9"/>
  <c r="DE36" i="9"/>
  <c r="DH28" i="9"/>
  <c r="DE28" i="9"/>
  <c r="DE44" i="9"/>
  <c r="DG28" i="9"/>
  <c r="DO29" i="9"/>
  <c r="DF28" i="9"/>
  <c r="DC9" i="9"/>
  <c r="DB9" i="9"/>
  <c r="DA9" i="9"/>
  <c r="DQ7" i="9"/>
  <c r="DL7" i="9"/>
  <c r="DL9" i="9"/>
  <c r="DL10" i="9" s="1"/>
  <c r="DR7" i="9"/>
  <c r="DE9" i="9"/>
  <c r="DD9" i="9"/>
  <c r="DS7" i="9"/>
  <c r="EC7" i="9"/>
  <c r="ED7" i="9" s="1"/>
  <c r="DM6" i="9"/>
  <c r="EA8" i="9"/>
  <c r="DP8" i="9"/>
  <c r="CZ10" i="9"/>
  <c r="DP26" i="9"/>
  <c r="DD29" i="9"/>
  <c r="DP29" i="9"/>
  <c r="DP30" i="9" s="1"/>
  <c r="DF29" i="9"/>
  <c r="DI29" i="9"/>
  <c r="DG29" i="9"/>
  <c r="DE29" i="9"/>
  <c r="DH29" i="9"/>
  <c r="DP27" i="9"/>
  <c r="DM7" i="9"/>
  <c r="DS8" i="9"/>
  <c r="DR8" i="9"/>
  <c r="DE10" i="9"/>
  <c r="DM9" i="9"/>
  <c r="DM10" i="9" s="1"/>
  <c r="EC8" i="9"/>
  <c r="ED8" i="9" s="1"/>
  <c r="DQ8" i="9"/>
  <c r="DD10" i="9"/>
  <c r="DC10" i="9"/>
  <c r="DB10" i="9"/>
  <c r="DA10" i="9"/>
  <c r="DO26" i="9"/>
  <c r="DD28" i="9"/>
  <c r="CJ4" i="9"/>
  <c r="CK4" i="9"/>
  <c r="CI4" i="9"/>
  <c r="CI3" i="9"/>
  <c r="CJ3" i="9"/>
  <c r="CK3" i="9"/>
  <c r="FP12" i="9"/>
  <c r="FP13" i="9"/>
  <c r="EE9" i="9"/>
  <c r="GU10" i="9" l="1"/>
  <c r="GT14" i="9"/>
  <c r="GN14" i="9" s="1"/>
  <c r="GU17" i="9"/>
  <c r="GT11" i="9"/>
  <c r="GN11" i="9" s="1"/>
  <c r="GT13" i="9"/>
  <c r="GN13" i="9" s="1"/>
  <c r="FQ13" i="9"/>
  <c r="FT13" i="9"/>
  <c r="FS13" i="9"/>
  <c r="FT12" i="9"/>
  <c r="FQ12" i="9"/>
  <c r="FS12" i="9"/>
  <c r="DR29" i="9"/>
  <c r="GN10" i="9"/>
  <c r="DN10" i="9"/>
  <c r="GU23" i="9"/>
  <c r="GT23" i="9"/>
  <c r="GU22" i="9"/>
  <c r="GT22" i="9"/>
  <c r="GU36" i="9"/>
  <c r="GT36" i="9"/>
  <c r="GT18" i="9"/>
  <c r="GU18" i="9"/>
  <c r="GU20" i="9"/>
  <c r="GT20" i="9"/>
  <c r="GU30" i="9"/>
  <c r="GT30" i="9"/>
  <c r="GT28" i="9"/>
  <c r="GU28" i="9"/>
  <c r="GT29" i="9"/>
  <c r="GU29" i="9"/>
  <c r="GU26" i="9"/>
  <c r="GT26" i="9"/>
  <c r="GT25" i="9"/>
  <c r="GU25" i="9"/>
  <c r="GT24" i="9"/>
  <c r="GU24" i="9"/>
  <c r="GU19" i="9"/>
  <c r="GT19" i="9"/>
  <c r="DE35" i="9"/>
  <c r="DE34" i="9" s="1"/>
  <c r="GU27" i="9"/>
  <c r="GT27" i="9"/>
  <c r="GV37" i="9"/>
  <c r="GW37" i="9"/>
  <c r="GU21" i="9"/>
  <c r="GT21" i="9"/>
  <c r="GT38" i="9"/>
  <c r="GU38" i="9"/>
  <c r="GV38" i="9"/>
  <c r="GW38" i="9"/>
  <c r="GQ31" i="9"/>
  <c r="GQ29" i="9" s="1"/>
  <c r="GU9" i="9"/>
  <c r="GT9" i="9"/>
  <c r="GT15" i="9"/>
  <c r="GU15" i="9"/>
  <c r="GQ39" i="9"/>
  <c r="GQ38" i="9" s="1"/>
  <c r="GW36" i="9"/>
  <c r="GV36" i="9"/>
  <c r="GT16" i="9"/>
  <c r="GU16" i="9"/>
  <c r="GT37" i="9"/>
  <c r="GU37" i="9"/>
  <c r="GT12" i="9"/>
  <c r="GU12" i="9"/>
  <c r="GN17" i="9"/>
  <c r="EC14" i="9"/>
  <c r="DR33" i="9"/>
  <c r="EA12" i="9"/>
  <c r="EA13" i="9"/>
  <c r="DG36" i="9"/>
  <c r="DR9" i="9"/>
  <c r="DT9" i="9" s="1"/>
  <c r="DS9" i="9"/>
  <c r="DO30" i="9"/>
  <c r="DR30" i="9" s="1"/>
  <c r="DR31" i="9" s="1"/>
  <c r="EA14" i="9"/>
  <c r="EB12" i="9"/>
  <c r="DC16" i="9"/>
  <c r="EC9" i="9"/>
  <c r="DQ13" i="9"/>
  <c r="DQ14" i="9"/>
  <c r="DR13" i="9"/>
  <c r="DR12" i="9"/>
  <c r="DN13" i="9"/>
  <c r="ED6" i="9"/>
  <c r="EB13" i="9"/>
  <c r="EB14" i="9"/>
  <c r="DA15" i="9"/>
  <c r="DA14" i="9" s="1"/>
  <c r="DP13" i="9"/>
  <c r="DP12" i="9"/>
  <c r="DF34" i="9"/>
  <c r="DG44" i="9" s="1"/>
  <c r="DR14" i="9"/>
  <c r="DQ12" i="9"/>
  <c r="DP14" i="9"/>
  <c r="DN9" i="9"/>
  <c r="DB14" i="9"/>
  <c r="DB15" i="9" s="1"/>
  <c r="DC15" i="9" s="1"/>
  <c r="CO9" i="9" a="1"/>
  <c r="CO9" i="9" s="1"/>
  <c r="CO17" i="9" a="1"/>
  <c r="CO17" i="9" s="1"/>
  <c r="CO25" i="9" a="1"/>
  <c r="CO25" i="9" s="1"/>
  <c r="CO33" i="9" a="1"/>
  <c r="CO33" i="9" s="1"/>
  <c r="CO41" i="9" a="1"/>
  <c r="CO41" i="9" s="1"/>
  <c r="CO49" i="9" a="1"/>
  <c r="CO49" i="9" s="1"/>
  <c r="CO57" i="9" a="1"/>
  <c r="CO57" i="9" s="1"/>
  <c r="CO4" i="9" a="1"/>
  <c r="CO4" i="9" s="1"/>
  <c r="CO12" i="9" a="1"/>
  <c r="CO12" i="9" s="1"/>
  <c r="CO20" i="9" a="1"/>
  <c r="CO20" i="9" s="1"/>
  <c r="CO28" i="9" a="1"/>
  <c r="CO28" i="9" s="1"/>
  <c r="CO36" i="9" a="1"/>
  <c r="CO36" i="9" s="1"/>
  <c r="CO44" i="9" a="1"/>
  <c r="CO44" i="9" s="1"/>
  <c r="CO52" i="9" a="1"/>
  <c r="CO52" i="9" s="1"/>
  <c r="CO7" i="9" a="1"/>
  <c r="CO7" i="9" s="1"/>
  <c r="CO15" i="9" a="1"/>
  <c r="CO15" i="9" s="1"/>
  <c r="CO23" i="9" a="1"/>
  <c r="CO23" i="9" s="1"/>
  <c r="CO31" i="9" a="1"/>
  <c r="CO31" i="9" s="1"/>
  <c r="CO39" i="9" a="1"/>
  <c r="CO39" i="9" s="1"/>
  <c r="CO47" i="9" a="1"/>
  <c r="CO47" i="9" s="1"/>
  <c r="CO55" i="9" a="1"/>
  <c r="CO55" i="9" s="1"/>
  <c r="CO3" i="9" a="1"/>
  <c r="CO3" i="9" s="1"/>
  <c r="CO10" i="9" a="1"/>
  <c r="CO10" i="9" s="1"/>
  <c r="CO18" i="9" a="1"/>
  <c r="CO18" i="9" s="1"/>
  <c r="CO26" i="9" a="1"/>
  <c r="CO26" i="9" s="1"/>
  <c r="CO34" i="9" a="1"/>
  <c r="CO34" i="9" s="1"/>
  <c r="CO42" i="9" a="1"/>
  <c r="CO42" i="9" s="1"/>
  <c r="CO50" i="9" a="1"/>
  <c r="CO50" i="9" s="1"/>
  <c r="CO5" i="9" a="1"/>
  <c r="CO5" i="9" s="1"/>
  <c r="CO13" i="9" a="1"/>
  <c r="CO13" i="9" s="1"/>
  <c r="CO21" i="9" a="1"/>
  <c r="CO21" i="9" s="1"/>
  <c r="CO29" i="9" a="1"/>
  <c r="CO29" i="9" s="1"/>
  <c r="CO37" i="9" a="1"/>
  <c r="CO37" i="9" s="1"/>
  <c r="CO45" i="9" a="1"/>
  <c r="CO45" i="9" s="1"/>
  <c r="CO53" i="9" a="1"/>
  <c r="CO53" i="9" s="1"/>
  <c r="CO8" i="9" a="1"/>
  <c r="CO8" i="9" s="1"/>
  <c r="CO16" i="9" a="1"/>
  <c r="CO16" i="9" s="1"/>
  <c r="CO24" i="9" a="1"/>
  <c r="CO24" i="9" s="1"/>
  <c r="CO32" i="9" a="1"/>
  <c r="CO32" i="9" s="1"/>
  <c r="CO40" i="9" a="1"/>
  <c r="CO40" i="9" s="1"/>
  <c r="CO48" i="9" a="1"/>
  <c r="CO48" i="9" s="1"/>
  <c r="CO56" i="9" a="1"/>
  <c r="CO56" i="9" s="1"/>
  <c r="CO11" i="9" a="1"/>
  <c r="CO11" i="9" s="1"/>
  <c r="CO19" i="9" a="1"/>
  <c r="CO19" i="9" s="1"/>
  <c r="CO27" i="9" a="1"/>
  <c r="CO27" i="9" s="1"/>
  <c r="CO35" i="9" a="1"/>
  <c r="CO35" i="9" s="1"/>
  <c r="CO43" i="9" a="1"/>
  <c r="CO43" i="9" s="1"/>
  <c r="CO51" i="9" a="1"/>
  <c r="CO51" i="9" s="1"/>
  <c r="CO6" i="9" a="1"/>
  <c r="CO6" i="9" s="1"/>
  <c r="CO14" i="9" a="1"/>
  <c r="CO14" i="9" s="1"/>
  <c r="CO22" i="9" a="1"/>
  <c r="CO22" i="9" s="1"/>
  <c r="CO30" i="9" a="1"/>
  <c r="CO30" i="9" s="1"/>
  <c r="CO38" i="9" a="1"/>
  <c r="CO38" i="9" s="1"/>
  <c r="CO46" i="9" a="1"/>
  <c r="CO46" i="9" s="1"/>
  <c r="CO54" i="9" a="1"/>
  <c r="CO54" i="9" s="1"/>
  <c r="CN4" i="9" a="1"/>
  <c r="CN4" i="9" s="1"/>
  <c r="CN12" i="9" a="1"/>
  <c r="CN12" i="9" s="1"/>
  <c r="CN20" i="9" a="1"/>
  <c r="CN20" i="9" s="1"/>
  <c r="CN28" i="9" a="1"/>
  <c r="CN28" i="9" s="1"/>
  <c r="CN36" i="9" a="1"/>
  <c r="CN36" i="9" s="1"/>
  <c r="CN44" i="9" a="1"/>
  <c r="CN44" i="9" s="1"/>
  <c r="CN52" i="9" a="1"/>
  <c r="CN52" i="9" s="1"/>
  <c r="CN7" i="9" a="1"/>
  <c r="CN7" i="9" s="1"/>
  <c r="CN15" i="9" a="1"/>
  <c r="CN15" i="9" s="1"/>
  <c r="CN23" i="9" a="1"/>
  <c r="CN23" i="9" s="1"/>
  <c r="CN31" i="9" a="1"/>
  <c r="CN31" i="9" s="1"/>
  <c r="CN39" i="9" a="1"/>
  <c r="CN39" i="9" s="1"/>
  <c r="CN47" i="9" a="1"/>
  <c r="CN47" i="9" s="1"/>
  <c r="CN55" i="9" a="1"/>
  <c r="CN55" i="9" s="1"/>
  <c r="CN3" i="9" a="1"/>
  <c r="CN3" i="9" s="1"/>
  <c r="CN10" i="9" a="1"/>
  <c r="CN10" i="9" s="1"/>
  <c r="CN18" i="9" a="1"/>
  <c r="CN18" i="9" s="1"/>
  <c r="CN26" i="9" a="1"/>
  <c r="CN26" i="9" s="1"/>
  <c r="CN34" i="9" a="1"/>
  <c r="CN34" i="9" s="1"/>
  <c r="CN42" i="9" a="1"/>
  <c r="CN42" i="9" s="1"/>
  <c r="CN50" i="9" a="1"/>
  <c r="CN50" i="9" s="1"/>
  <c r="CN5" i="9" a="1"/>
  <c r="CN5" i="9" s="1"/>
  <c r="CN13" i="9" a="1"/>
  <c r="CN13" i="9" s="1"/>
  <c r="CN21" i="9" a="1"/>
  <c r="CN21" i="9" s="1"/>
  <c r="CN29" i="9" a="1"/>
  <c r="CN29" i="9" s="1"/>
  <c r="CN37" i="9" a="1"/>
  <c r="CN37" i="9" s="1"/>
  <c r="CN45" i="9" a="1"/>
  <c r="CN45" i="9" s="1"/>
  <c r="CN53" i="9" a="1"/>
  <c r="CN53" i="9" s="1"/>
  <c r="CN8" i="9" a="1"/>
  <c r="CN8" i="9" s="1"/>
  <c r="CN16" i="9" a="1"/>
  <c r="CN16" i="9" s="1"/>
  <c r="CN24" i="9" a="1"/>
  <c r="CN24" i="9" s="1"/>
  <c r="CN32" i="9" a="1"/>
  <c r="CN32" i="9" s="1"/>
  <c r="CN40" i="9" a="1"/>
  <c r="CN40" i="9" s="1"/>
  <c r="CN48" i="9" a="1"/>
  <c r="CN48" i="9" s="1"/>
  <c r="CN56" i="9" a="1"/>
  <c r="CN56" i="9" s="1"/>
  <c r="CN11" i="9" a="1"/>
  <c r="CN11" i="9" s="1"/>
  <c r="CN19" i="9" a="1"/>
  <c r="CN19" i="9" s="1"/>
  <c r="CN27" i="9" a="1"/>
  <c r="CN27" i="9" s="1"/>
  <c r="CN35" i="9" a="1"/>
  <c r="CN35" i="9" s="1"/>
  <c r="CN43" i="9" a="1"/>
  <c r="CN43" i="9" s="1"/>
  <c r="CN51" i="9" a="1"/>
  <c r="CN51" i="9" s="1"/>
  <c r="CN54" i="9" a="1"/>
  <c r="CN54" i="9" s="1"/>
  <c r="CN57" i="9" a="1"/>
  <c r="CN57" i="9" s="1"/>
  <c r="CN6" i="9" a="1"/>
  <c r="CN6" i="9" s="1"/>
  <c r="CN14" i="9" a="1"/>
  <c r="CN14" i="9" s="1"/>
  <c r="CN22" i="9" a="1"/>
  <c r="CN22" i="9" s="1"/>
  <c r="CN30" i="9" a="1"/>
  <c r="CN30" i="9" s="1"/>
  <c r="CN38" i="9" a="1"/>
  <c r="CN38" i="9" s="1"/>
  <c r="CN46" i="9" a="1"/>
  <c r="CN46" i="9" s="1"/>
  <c r="CN9" i="9" a="1"/>
  <c r="CN9" i="9" s="1"/>
  <c r="CN17" i="9" a="1"/>
  <c r="CN17" i="9" s="1"/>
  <c r="CN25" i="9" a="1"/>
  <c r="CN25" i="9" s="1"/>
  <c r="CN33" i="9" a="1"/>
  <c r="CN33" i="9" s="1"/>
  <c r="CN41" i="9" a="1"/>
  <c r="CN41" i="9" s="1"/>
  <c r="CN49" i="9" a="1"/>
  <c r="CN49" i="9" s="1"/>
  <c r="CM7" i="9" a="1"/>
  <c r="CM7" i="9" s="1"/>
  <c r="CP7" i="9" s="1"/>
  <c r="CM15" i="9" a="1"/>
  <c r="CM15" i="9" s="1"/>
  <c r="CP15" i="9" s="1"/>
  <c r="CM23" i="9" a="1"/>
  <c r="CM23" i="9" s="1"/>
  <c r="CP23" i="9" s="1"/>
  <c r="CM31" i="9" a="1"/>
  <c r="CM31" i="9" s="1"/>
  <c r="CP31" i="9" s="1"/>
  <c r="CM39" i="9" a="1"/>
  <c r="CM39" i="9" s="1"/>
  <c r="CP39" i="9" s="1"/>
  <c r="CM47" i="9" a="1"/>
  <c r="CM47" i="9" s="1"/>
  <c r="CP47" i="9" s="1"/>
  <c r="CM55" i="9" a="1"/>
  <c r="CM55" i="9" s="1"/>
  <c r="CP55" i="9" s="1"/>
  <c r="CM10" i="9" a="1"/>
  <c r="CM10" i="9" s="1"/>
  <c r="CM18" i="9" a="1"/>
  <c r="CM18" i="9" s="1"/>
  <c r="CM26" i="9" a="1"/>
  <c r="CM26" i="9" s="1"/>
  <c r="CM34" i="9" a="1"/>
  <c r="CM34" i="9" s="1"/>
  <c r="CM42" i="9" a="1"/>
  <c r="CM42" i="9" s="1"/>
  <c r="CM50" i="9" a="1"/>
  <c r="CM50" i="9" s="1"/>
  <c r="CM5" i="9" a="1"/>
  <c r="CM5" i="9" s="1"/>
  <c r="CM13" i="9" a="1"/>
  <c r="CM13" i="9" s="1"/>
  <c r="CM21" i="9" a="1"/>
  <c r="CM21" i="9" s="1"/>
  <c r="CM29" i="9" a="1"/>
  <c r="CM29" i="9" s="1"/>
  <c r="CM37" i="9" a="1"/>
  <c r="CM37" i="9" s="1"/>
  <c r="CM45" i="9" a="1"/>
  <c r="CM45" i="9" s="1"/>
  <c r="CM53" i="9" a="1"/>
  <c r="CM53" i="9" s="1"/>
  <c r="CM8" i="9" a="1"/>
  <c r="CM8" i="9" s="1"/>
  <c r="CM16" i="9" a="1"/>
  <c r="CM16" i="9" s="1"/>
  <c r="CM24" i="9" a="1"/>
  <c r="CM24" i="9" s="1"/>
  <c r="CM32" i="9" a="1"/>
  <c r="CM32" i="9" s="1"/>
  <c r="CM40" i="9" a="1"/>
  <c r="CM40" i="9" s="1"/>
  <c r="CM48" i="9" a="1"/>
  <c r="CM48" i="9" s="1"/>
  <c r="CM56" i="9" a="1"/>
  <c r="CM56" i="9" s="1"/>
  <c r="CM3" i="9" a="1"/>
  <c r="CM3" i="9" s="1"/>
  <c r="CM11" i="9" a="1"/>
  <c r="CM11" i="9" s="1"/>
  <c r="CP11" i="9" s="1"/>
  <c r="CM19" i="9" a="1"/>
  <c r="CM19" i="9" s="1"/>
  <c r="CP19" i="9" s="1"/>
  <c r="CM27" i="9" a="1"/>
  <c r="CM27" i="9" s="1"/>
  <c r="CP27" i="9" s="1"/>
  <c r="CM35" i="9" a="1"/>
  <c r="CM35" i="9" s="1"/>
  <c r="CP35" i="9" s="1"/>
  <c r="CM43" i="9" a="1"/>
  <c r="CM43" i="9" s="1"/>
  <c r="CP43" i="9" s="1"/>
  <c r="CM51" i="9" a="1"/>
  <c r="CM51" i="9" s="1"/>
  <c r="CP51" i="9" s="1"/>
  <c r="CM6" i="9" a="1"/>
  <c r="CM6" i="9" s="1"/>
  <c r="CM14" i="9" a="1"/>
  <c r="CM14" i="9" s="1"/>
  <c r="CM22" i="9" a="1"/>
  <c r="CM22" i="9" s="1"/>
  <c r="CM30" i="9" a="1"/>
  <c r="CM30" i="9" s="1"/>
  <c r="CM38" i="9" a="1"/>
  <c r="CM38" i="9" s="1"/>
  <c r="CM46" i="9" a="1"/>
  <c r="CM46" i="9" s="1"/>
  <c r="CM54" i="9" a="1"/>
  <c r="CM54" i="9" s="1"/>
  <c r="CM49" i="9" a="1"/>
  <c r="CM49" i="9" s="1"/>
  <c r="CM9" i="9" a="1"/>
  <c r="CM9" i="9" s="1"/>
  <c r="CP9" i="9" s="1"/>
  <c r="CM17" i="9" a="1"/>
  <c r="CM17" i="9" s="1"/>
  <c r="CP17" i="9" s="1"/>
  <c r="CM25" i="9" a="1"/>
  <c r="CM25" i="9" s="1"/>
  <c r="CP25" i="9" s="1"/>
  <c r="CM33" i="9" a="1"/>
  <c r="CM33" i="9" s="1"/>
  <c r="CP33" i="9" s="1"/>
  <c r="CM41" i="9" a="1"/>
  <c r="CM41" i="9" s="1"/>
  <c r="CP41" i="9" s="1"/>
  <c r="CM57" i="9" a="1"/>
  <c r="CM57" i="9" s="1"/>
  <c r="CM52" i="9" a="1"/>
  <c r="CM52" i="9" s="1"/>
  <c r="CM4" i="9" a="1"/>
  <c r="CM4" i="9" s="1"/>
  <c r="CP4" i="9" s="1"/>
  <c r="CM12" i="9" a="1"/>
  <c r="CM12" i="9" s="1"/>
  <c r="CP12" i="9" s="1"/>
  <c r="CM20" i="9" a="1"/>
  <c r="CM20" i="9" s="1"/>
  <c r="CP20" i="9" s="1"/>
  <c r="CM28" i="9" a="1"/>
  <c r="CM28" i="9" s="1"/>
  <c r="CP28" i="9" s="1"/>
  <c r="CM36" i="9" a="1"/>
  <c r="CM36" i="9" s="1"/>
  <c r="CP36" i="9" s="1"/>
  <c r="CM44" i="9" a="1"/>
  <c r="CM44" i="9" s="1"/>
  <c r="CP44" i="9" s="1"/>
  <c r="DU9" i="9"/>
  <c r="DR32" i="9"/>
  <c r="CP56" i="9" l="1"/>
  <c r="CP45" i="9"/>
  <c r="CP34" i="9"/>
  <c r="CP52" i="9"/>
  <c r="DN11" i="9"/>
  <c r="GN9" i="9"/>
  <c r="CP22" i="9"/>
  <c r="GN18" i="9"/>
  <c r="CP8" i="9"/>
  <c r="CP50" i="9"/>
  <c r="GN27" i="9"/>
  <c r="GN25" i="9"/>
  <c r="CP14" i="9"/>
  <c r="GN20" i="9"/>
  <c r="GQ36" i="9"/>
  <c r="GN28" i="9"/>
  <c r="GQ19" i="9"/>
  <c r="GQ26" i="9"/>
  <c r="GQ30" i="9"/>
  <c r="GN16" i="9"/>
  <c r="GQ24" i="9"/>
  <c r="GN23" i="9"/>
  <c r="GN24" i="9"/>
  <c r="GN29" i="9"/>
  <c r="GQ20" i="9"/>
  <c r="GQ11" i="9"/>
  <c r="GQ25" i="9"/>
  <c r="GQ21" i="9"/>
  <c r="GQ17" i="9"/>
  <c r="GQ13" i="9"/>
  <c r="GQ14" i="9"/>
  <c r="GQ10" i="9"/>
  <c r="GQ37" i="9"/>
  <c r="GN30" i="9"/>
  <c r="GN36" i="9"/>
  <c r="GN37" i="9"/>
  <c r="CP16" i="9"/>
  <c r="CP5" i="9"/>
  <c r="GN15" i="9"/>
  <c r="GQ22" i="9"/>
  <c r="GQ16" i="9"/>
  <c r="GQ15" i="9"/>
  <c r="GQ27" i="9"/>
  <c r="GN22" i="9"/>
  <c r="GQ9" i="9"/>
  <c r="GN38" i="9"/>
  <c r="GQ12" i="9"/>
  <c r="GN21" i="9"/>
  <c r="GQ28" i="9"/>
  <c r="GQ18" i="9"/>
  <c r="CP49" i="9"/>
  <c r="GN12" i="9"/>
  <c r="GN19" i="9"/>
  <c r="GN26" i="9"/>
  <c r="GQ23" i="9"/>
  <c r="DR34" i="9"/>
  <c r="DR36" i="9" s="1"/>
  <c r="DF10" i="9"/>
  <c r="DF8" i="9"/>
  <c r="DF9" i="9"/>
  <c r="DG14" i="9"/>
  <c r="DH14" i="9"/>
  <c r="DF14" i="9"/>
  <c r="DC14" i="9"/>
  <c r="DD14" i="9" s="1"/>
  <c r="DE14" i="9" s="1"/>
  <c r="DJ34" i="9"/>
  <c r="DG34" i="9"/>
  <c r="DY14" i="9"/>
  <c r="DS14" i="9"/>
  <c r="DX14" i="9" s="1"/>
  <c r="DS12" i="9"/>
  <c r="DX12" i="9" s="1"/>
  <c r="DS13" i="9"/>
  <c r="DX13" i="9" s="1"/>
  <c r="EC13" i="9"/>
  <c r="EC12" i="9"/>
  <c r="ED13" i="9"/>
  <c r="EG13" i="9" s="1"/>
  <c r="ED12" i="9"/>
  <c r="EG12" i="9" s="1"/>
  <c r="ED14" i="9"/>
  <c r="EG14" i="9" s="1"/>
  <c r="DF35" i="9"/>
  <c r="DU12" i="9"/>
  <c r="DY12" i="9"/>
  <c r="DY13" i="9"/>
  <c r="CP40" i="9"/>
  <c r="CP29" i="9"/>
  <c r="CP18" i="9"/>
  <c r="CP46" i="9"/>
  <c r="CP48" i="9"/>
  <c r="CP37" i="9"/>
  <c r="CP26" i="9"/>
  <c r="CP54" i="9"/>
  <c r="CP6" i="9"/>
  <c r="CP53" i="9"/>
  <c r="CP42" i="9"/>
  <c r="CP10" i="9"/>
  <c r="CP38" i="9"/>
  <c r="CP24" i="9"/>
  <c r="CP13" i="9"/>
  <c r="CP21" i="9"/>
  <c r="CP57" i="9"/>
  <c r="CP30" i="9"/>
  <c r="CP32" i="9"/>
  <c r="CP3" i="9"/>
  <c r="AU1" i="9"/>
  <c r="AV1" i="9" s="1"/>
  <c r="AQ1" i="9"/>
  <c r="AR1" i="9" s="1"/>
  <c r="AL3" i="9"/>
  <c r="AL4" i="9" s="1"/>
  <c r="AL5" i="9" s="1"/>
  <c r="AL6" i="9" s="1"/>
  <c r="AL7" i="9" s="1"/>
  <c r="AL8" i="9" s="1"/>
  <c r="AL9" i="9" s="1"/>
  <c r="AL10" i="9" s="1"/>
  <c r="AL11" i="9" s="1"/>
  <c r="AL12" i="9" s="1"/>
  <c r="AL13" i="9" s="1"/>
  <c r="AL14" i="9" s="1"/>
  <c r="AL15" i="9" s="1"/>
  <c r="AL16" i="9" s="1"/>
  <c r="AL17" i="9" s="1"/>
  <c r="AL18" i="9" s="1"/>
  <c r="AL19" i="9" s="1"/>
  <c r="AL20" i="9" s="1"/>
  <c r="AL21" i="9" s="1"/>
  <c r="AL22" i="9" s="1"/>
  <c r="AL23" i="9" s="1"/>
  <c r="AL24" i="9" s="1"/>
  <c r="AL25" i="9" s="1"/>
  <c r="AL26" i="9" s="1"/>
  <c r="AL27" i="9" s="1"/>
  <c r="AL28" i="9" s="1"/>
  <c r="AL29" i="9" s="1"/>
  <c r="AL30" i="9" s="1"/>
  <c r="AL31" i="9" s="1"/>
  <c r="AL32" i="9" s="1"/>
  <c r="AL33" i="9" s="1"/>
  <c r="AL34" i="9" s="1"/>
  <c r="AL35" i="9" s="1"/>
  <c r="AL36" i="9" s="1"/>
  <c r="AL37" i="9" s="1"/>
  <c r="AL38" i="9" s="1"/>
  <c r="AL39" i="9" s="1"/>
  <c r="AL40" i="9" s="1"/>
  <c r="AL41" i="9" s="1"/>
  <c r="AL42" i="9" s="1"/>
  <c r="AL43" i="9" s="1"/>
  <c r="AL44" i="9" s="1"/>
  <c r="AL45" i="9" s="1"/>
  <c r="AL46" i="9" s="1"/>
  <c r="AL47" i="9" s="1"/>
  <c r="AL48" i="9" s="1"/>
  <c r="AL49" i="9" s="1"/>
  <c r="AL50" i="9" s="1"/>
  <c r="AL51" i="9" s="1"/>
  <c r="AL52" i="9" s="1"/>
  <c r="AL53" i="9" s="1"/>
  <c r="AL54" i="9" s="1"/>
  <c r="AL55" i="9" s="1"/>
  <c r="AL56" i="9" s="1"/>
  <c r="Y8" i="9"/>
  <c r="X8" i="9"/>
  <c r="S16" i="9"/>
  <c r="T16" i="9"/>
  <c r="R16" i="9"/>
  <c r="U8" i="9"/>
  <c r="U9" i="9"/>
  <c r="U10" i="9"/>
  <c r="U11" i="9"/>
  <c r="U12" i="9"/>
  <c r="U13" i="9"/>
  <c r="U14" i="9"/>
  <c r="U15" i="9"/>
  <c r="U7" i="9"/>
  <c r="Q7" i="9"/>
  <c r="Q8" i="9"/>
  <c r="Q9" i="9"/>
  <c r="Q10" i="9"/>
  <c r="Q11" i="9"/>
  <c r="Q12" i="9"/>
  <c r="Q13" i="9"/>
  <c r="Q14" i="9"/>
  <c r="Q15" i="9"/>
  <c r="R6" i="9"/>
  <c r="S6" i="9"/>
  <c r="T6" i="9"/>
  <c r="Q6" i="9"/>
  <c r="DN12" i="9"/>
  <c r="AM2" i="9" a="1"/>
  <c r="DN14" i="9" l="1"/>
  <c r="DN16" i="9" s="1"/>
  <c r="DT12" i="9"/>
  <c r="DT13" i="9"/>
  <c r="DV12" i="9"/>
  <c r="EE13" i="9"/>
  <c r="DV13" i="9"/>
  <c r="DU13" i="9"/>
  <c r="DG35" i="9"/>
  <c r="DH34" i="9" s="1"/>
  <c r="DI34" i="9" s="1"/>
  <c r="DF41" i="9"/>
  <c r="DV14" i="9"/>
  <c r="DU14" i="9"/>
  <c r="DG9" i="9"/>
  <c r="DH9" i="9"/>
  <c r="EE12" i="9"/>
  <c r="DT14" i="9"/>
  <c r="DH8" i="9"/>
  <c r="DG8" i="9"/>
  <c r="DF44" i="9"/>
  <c r="DG10" i="9"/>
  <c r="DH10" i="9"/>
  <c r="EE14" i="9"/>
  <c r="CI16" i="9"/>
  <c r="AM9" i="9"/>
  <c r="AM17" i="9"/>
  <c r="AM25" i="9"/>
  <c r="AM33" i="9"/>
  <c r="AM41" i="9"/>
  <c r="AM49" i="9"/>
  <c r="AM2" i="9"/>
  <c r="AM10" i="9"/>
  <c r="AM18" i="9"/>
  <c r="AM26" i="9"/>
  <c r="AM34" i="9"/>
  <c r="AM42" i="9"/>
  <c r="AM50" i="9"/>
  <c r="AM19" i="9"/>
  <c r="AM35" i="9"/>
  <c r="AM51" i="9"/>
  <c r="AM52" i="9"/>
  <c r="AM5" i="9"/>
  <c r="AM13" i="9"/>
  <c r="AM37" i="9"/>
  <c r="AM22" i="9"/>
  <c r="AM54" i="9"/>
  <c r="AM3" i="9"/>
  <c r="AM11" i="9"/>
  <c r="AM27" i="9"/>
  <c r="AM43" i="9"/>
  <c r="AM21" i="9"/>
  <c r="AM53" i="9"/>
  <c r="AM46" i="9"/>
  <c r="AM7" i="9"/>
  <c r="AM31" i="9"/>
  <c r="AM47" i="9"/>
  <c r="AM8" i="9"/>
  <c r="AM24" i="9"/>
  <c r="AM48" i="9"/>
  <c r="AM4" i="9"/>
  <c r="AM12" i="9"/>
  <c r="AM20" i="9"/>
  <c r="AM28" i="9"/>
  <c r="AM36" i="9"/>
  <c r="AM44" i="9"/>
  <c r="AM29" i="9"/>
  <c r="AM45" i="9"/>
  <c r="AM38" i="9"/>
  <c r="AM15" i="9"/>
  <c r="AM23" i="9"/>
  <c r="AM39" i="9"/>
  <c r="AM55" i="9"/>
  <c r="AM16" i="9"/>
  <c r="AM32" i="9"/>
  <c r="AM56" i="9"/>
  <c r="AM6" i="9"/>
  <c r="AM14" i="9"/>
  <c r="AM30" i="9"/>
  <c r="AM40" i="9"/>
  <c r="U16" i="9"/>
  <c r="W8" i="9" s="1"/>
  <c r="Z8" i="9"/>
  <c r="DW12" i="9"/>
  <c r="DW13" i="9"/>
  <c r="EF13" i="9"/>
  <c r="DG41" i="9"/>
  <c r="DH41" i="9"/>
  <c r="EF12" i="9"/>
  <c r="DW14" i="9"/>
  <c r="EF14" i="9"/>
  <c r="AP14" i="9"/>
  <c r="Z12" i="9"/>
  <c r="Z13" i="9"/>
  <c r="DE40" i="9" l="1"/>
  <c r="DF40" i="9" s="1"/>
  <c r="R7" i="9" a="1"/>
  <c r="R7" i="9" s="1"/>
  <c r="DI44" i="9"/>
  <c r="DH44" i="9"/>
  <c r="DE41" i="9"/>
  <c r="DJ29" i="9"/>
  <c r="DJ30" i="9"/>
  <c r="DJ28" i="9"/>
  <c r="DL34" i="9"/>
  <c r="DK34" i="9"/>
  <c r="AQ3" i="9"/>
  <c r="AR4" i="9"/>
  <c r="AR3" i="9"/>
  <c r="AQ4" i="9"/>
  <c r="AP4" i="9"/>
  <c r="AP3" i="9"/>
  <c r="AQ2" i="9"/>
  <c r="AP2" i="9"/>
  <c r="AR2" i="9"/>
  <c r="DG40" i="9"/>
  <c r="DH40" i="9"/>
  <c r="T11" i="9" l="1"/>
  <c r="R15" i="9"/>
  <c r="T15" i="9"/>
  <c r="R13" i="9"/>
  <c r="S10" i="9"/>
  <c r="S11" i="9"/>
  <c r="S8" i="9"/>
  <c r="R12" i="9"/>
  <c r="R10" i="9"/>
  <c r="T7" i="9"/>
  <c r="T12" i="9"/>
  <c r="S12" i="9"/>
  <c r="S14" i="9"/>
  <c r="T9" i="9"/>
  <c r="R14" i="9"/>
  <c r="T14" i="9"/>
  <c r="S13" i="9"/>
  <c r="S15" i="9"/>
  <c r="S9" i="9"/>
  <c r="T8" i="9"/>
  <c r="R8" i="9"/>
  <c r="R9" i="9"/>
  <c r="S7" i="9"/>
  <c r="DL30" i="9"/>
  <c r="DK30" i="9"/>
  <c r="T13" i="9"/>
  <c r="R11" i="9"/>
  <c r="T10" i="9"/>
  <c r="DL29" i="9"/>
  <c r="DK29" i="9"/>
  <c r="DJ41" i="9"/>
  <c r="DI41" i="9"/>
  <c r="DI40" i="9"/>
  <c r="DL28" i="9"/>
  <c r="DK28" i="9"/>
  <c r="DJ40" i="9"/>
  <c r="AT6" i="9" a="1"/>
  <c r="AT6" i="9" s="1"/>
  <c r="AT14" i="9" a="1"/>
  <c r="AT14" i="9" s="1"/>
  <c r="AT22" i="9" a="1"/>
  <c r="AT22" i="9" s="1"/>
  <c r="AT30" i="9" a="1"/>
  <c r="AT30" i="9" s="1"/>
  <c r="AT38" i="9" a="1"/>
  <c r="AT38" i="9" s="1"/>
  <c r="AT46" i="9" a="1"/>
  <c r="AT46" i="9" s="1"/>
  <c r="AT54" i="9" a="1"/>
  <c r="AT54" i="9" s="1"/>
  <c r="AT52" i="9" a="1"/>
  <c r="AT52" i="9" s="1"/>
  <c r="AT9" i="9" a="1"/>
  <c r="AT9" i="9" s="1"/>
  <c r="AT17" i="9" a="1"/>
  <c r="AT17" i="9" s="1"/>
  <c r="AT25" i="9" a="1"/>
  <c r="AT25" i="9" s="1"/>
  <c r="AT33" i="9" a="1"/>
  <c r="AT33" i="9" s="1"/>
  <c r="AT41" i="9" a="1"/>
  <c r="AT41" i="9" s="1"/>
  <c r="AT49" i="9" a="1"/>
  <c r="AT49" i="9" s="1"/>
  <c r="AT2" i="9" a="1"/>
  <c r="AT2" i="9" s="1"/>
  <c r="AT4" i="9" a="1"/>
  <c r="AT4" i="9" s="1"/>
  <c r="AT12" i="9" a="1"/>
  <c r="AT12" i="9" s="1"/>
  <c r="AT20" i="9" a="1"/>
  <c r="AT20" i="9" s="1"/>
  <c r="AT28" i="9" a="1"/>
  <c r="AT28" i="9" s="1"/>
  <c r="AT36" i="9" a="1"/>
  <c r="AT36" i="9" s="1"/>
  <c r="AT44" i="9" a="1"/>
  <c r="AT44" i="9" s="1"/>
  <c r="AT7" i="9" a="1"/>
  <c r="AT7" i="9" s="1"/>
  <c r="AT15" i="9" a="1"/>
  <c r="AT15" i="9" s="1"/>
  <c r="AT23" i="9" a="1"/>
  <c r="AT23" i="9" s="1"/>
  <c r="AT31" i="9" a="1"/>
  <c r="AT31" i="9" s="1"/>
  <c r="AT39" i="9" a="1"/>
  <c r="AT39" i="9" s="1"/>
  <c r="AT47" i="9" a="1"/>
  <c r="AT47" i="9" s="1"/>
  <c r="AT55" i="9" a="1"/>
  <c r="AT55" i="9" s="1"/>
  <c r="AT10" i="9" a="1"/>
  <c r="AT10" i="9" s="1"/>
  <c r="AT18" i="9" a="1"/>
  <c r="AT18" i="9" s="1"/>
  <c r="AT26" i="9" a="1"/>
  <c r="AT26" i="9" s="1"/>
  <c r="AT34" i="9" a="1"/>
  <c r="AT34" i="9" s="1"/>
  <c r="AT42" i="9" a="1"/>
  <c r="AT42" i="9" s="1"/>
  <c r="AT50" i="9" a="1"/>
  <c r="AT50" i="9" s="1"/>
  <c r="AT53" i="9" a="1"/>
  <c r="AT53" i="9" s="1"/>
  <c r="AT5" i="9" a="1"/>
  <c r="AT5" i="9" s="1"/>
  <c r="AT13" i="9" a="1"/>
  <c r="AT13" i="9" s="1"/>
  <c r="AT21" i="9" a="1"/>
  <c r="AT21" i="9" s="1"/>
  <c r="AT29" i="9" a="1"/>
  <c r="AT29" i="9" s="1"/>
  <c r="AT37" i="9" a="1"/>
  <c r="AT37" i="9" s="1"/>
  <c r="AT45" i="9" a="1"/>
  <c r="AT45" i="9" s="1"/>
  <c r="AT8" i="9" a="1"/>
  <c r="AT8" i="9" s="1"/>
  <c r="AT16" i="9" a="1"/>
  <c r="AT16" i="9" s="1"/>
  <c r="AT24" i="9" a="1"/>
  <c r="AT24" i="9" s="1"/>
  <c r="AT32" i="9" a="1"/>
  <c r="AT32" i="9" s="1"/>
  <c r="AT40" i="9" a="1"/>
  <c r="AT40" i="9" s="1"/>
  <c r="AT48" i="9" a="1"/>
  <c r="AT48" i="9" s="1"/>
  <c r="AT56" i="9" a="1"/>
  <c r="AT56" i="9" s="1"/>
  <c r="AT51" i="9" a="1"/>
  <c r="AT51" i="9" s="1"/>
  <c r="AT3" i="9" a="1"/>
  <c r="AT3" i="9" s="1"/>
  <c r="AT11" i="9" a="1"/>
  <c r="AT11" i="9" s="1"/>
  <c r="AT19" i="9" a="1"/>
  <c r="AT19" i="9" s="1"/>
  <c r="AT27" i="9" a="1"/>
  <c r="AT27" i="9" s="1"/>
  <c r="AT35" i="9" a="1"/>
  <c r="AT35" i="9" s="1"/>
  <c r="AT43" i="9" a="1"/>
  <c r="AT43" i="9" s="1"/>
  <c r="AU3" i="9" a="1"/>
  <c r="AU3" i="9" s="1"/>
  <c r="AU11" i="9" a="1"/>
  <c r="AU11" i="9" s="1"/>
  <c r="AU19" i="9" a="1"/>
  <c r="AU19" i="9" s="1"/>
  <c r="AU27" i="9" a="1"/>
  <c r="AU27" i="9" s="1"/>
  <c r="AU35" i="9" a="1"/>
  <c r="AU35" i="9" s="1"/>
  <c r="AU43" i="9" a="1"/>
  <c r="AU43" i="9" s="1"/>
  <c r="AU51" i="9" a="1"/>
  <c r="AU51" i="9" s="1"/>
  <c r="AU2" i="9" a="1"/>
  <c r="AU2" i="9" s="1"/>
  <c r="AU6" i="9" a="1"/>
  <c r="AU6" i="9" s="1"/>
  <c r="AU14" i="9" a="1"/>
  <c r="AU14" i="9" s="1"/>
  <c r="AU22" i="9" a="1"/>
  <c r="AU22" i="9" s="1"/>
  <c r="AU30" i="9" a="1"/>
  <c r="AU30" i="9" s="1"/>
  <c r="AU38" i="9" a="1"/>
  <c r="AU38" i="9" s="1"/>
  <c r="AU46" i="9" a="1"/>
  <c r="AU46" i="9" s="1"/>
  <c r="AU54" i="9" a="1"/>
  <c r="AU54" i="9" s="1"/>
  <c r="AU9" i="9" a="1"/>
  <c r="AU9" i="9" s="1"/>
  <c r="AU17" i="9" a="1"/>
  <c r="AU17" i="9" s="1"/>
  <c r="AU25" i="9" a="1"/>
  <c r="AU25" i="9" s="1"/>
  <c r="AU33" i="9" a="1"/>
  <c r="AU33" i="9" s="1"/>
  <c r="AU41" i="9" a="1"/>
  <c r="AU41" i="9" s="1"/>
  <c r="AU49" i="9" a="1"/>
  <c r="AU49" i="9" s="1"/>
  <c r="AU52" i="9" a="1"/>
  <c r="AU52" i="9" s="1"/>
  <c r="AU4" i="9" a="1"/>
  <c r="AU4" i="9" s="1"/>
  <c r="AU12" i="9" a="1"/>
  <c r="AU12" i="9" s="1"/>
  <c r="AU20" i="9" a="1"/>
  <c r="AU20" i="9" s="1"/>
  <c r="AU28" i="9" a="1"/>
  <c r="AU28" i="9" s="1"/>
  <c r="AU36" i="9" a="1"/>
  <c r="AU36" i="9" s="1"/>
  <c r="AU44" i="9" a="1"/>
  <c r="AU44" i="9" s="1"/>
  <c r="AU7" i="9" a="1"/>
  <c r="AU7" i="9" s="1"/>
  <c r="AU15" i="9" a="1"/>
  <c r="AU15" i="9" s="1"/>
  <c r="AU23" i="9" a="1"/>
  <c r="AU23" i="9" s="1"/>
  <c r="AU31" i="9" a="1"/>
  <c r="AU31" i="9" s="1"/>
  <c r="AU39" i="9" a="1"/>
  <c r="AU39" i="9" s="1"/>
  <c r="AU47" i="9" a="1"/>
  <c r="AU47" i="9" s="1"/>
  <c r="AU55" i="9" a="1"/>
  <c r="AU55" i="9" s="1"/>
  <c r="AU48" i="9" a="1"/>
  <c r="AU48" i="9" s="1"/>
  <c r="AU56" i="9" a="1"/>
  <c r="AU56" i="9" s="1"/>
  <c r="AU10" i="9" a="1"/>
  <c r="AU10" i="9" s="1"/>
  <c r="AU18" i="9" a="1"/>
  <c r="AU18" i="9" s="1"/>
  <c r="AU26" i="9" a="1"/>
  <c r="AU26" i="9" s="1"/>
  <c r="AU34" i="9" a="1"/>
  <c r="AU34" i="9" s="1"/>
  <c r="AU42" i="9" a="1"/>
  <c r="AU42" i="9" s="1"/>
  <c r="AU50" i="9" a="1"/>
  <c r="AU50" i="9" s="1"/>
  <c r="AU53" i="9" a="1"/>
  <c r="AU53" i="9" s="1"/>
  <c r="AU5" i="9" a="1"/>
  <c r="AU5" i="9" s="1"/>
  <c r="AU13" i="9" a="1"/>
  <c r="AU13" i="9" s="1"/>
  <c r="AU21" i="9" a="1"/>
  <c r="AU21" i="9" s="1"/>
  <c r="AU29" i="9" a="1"/>
  <c r="AU29" i="9" s="1"/>
  <c r="AU37" i="9" a="1"/>
  <c r="AU37" i="9" s="1"/>
  <c r="AU45" i="9" a="1"/>
  <c r="AU45" i="9" s="1"/>
  <c r="AU8" i="9" a="1"/>
  <c r="AU8" i="9" s="1"/>
  <c r="AU16" i="9" a="1"/>
  <c r="AU16" i="9" s="1"/>
  <c r="AU24" i="9" a="1"/>
  <c r="AU24" i="9" s="1"/>
  <c r="AU32" i="9" a="1"/>
  <c r="AU32" i="9" s="1"/>
  <c r="AU40" i="9" a="1"/>
  <c r="AU40" i="9" s="1"/>
  <c r="AV8" i="9" a="1"/>
  <c r="AV8" i="9" s="1"/>
  <c r="AV16" i="9" a="1"/>
  <c r="AV16" i="9" s="1"/>
  <c r="AV24" i="9" a="1"/>
  <c r="AV24" i="9" s="1"/>
  <c r="AV32" i="9" a="1"/>
  <c r="AV32" i="9" s="1"/>
  <c r="AV40" i="9" a="1"/>
  <c r="AV40" i="9" s="1"/>
  <c r="AV48" i="9" a="1"/>
  <c r="AV48" i="9" s="1"/>
  <c r="AV56" i="9" a="1"/>
  <c r="AV56" i="9" s="1"/>
  <c r="AV51" i="9" a="1"/>
  <c r="AV51" i="9" s="1"/>
  <c r="AV2" i="9" a="1"/>
  <c r="AV2" i="9" s="1"/>
  <c r="AV49" i="9" a="1"/>
  <c r="AV49" i="9" s="1"/>
  <c r="AV3" i="9" a="1"/>
  <c r="AV3" i="9" s="1"/>
  <c r="AV11" i="9" a="1"/>
  <c r="AV11" i="9" s="1"/>
  <c r="AV19" i="9" a="1"/>
  <c r="AV19" i="9" s="1"/>
  <c r="AV27" i="9" a="1"/>
  <c r="AV27" i="9" s="1"/>
  <c r="AV35" i="9" a="1"/>
  <c r="AV35" i="9" s="1"/>
  <c r="AV43" i="9" a="1"/>
  <c r="AV43" i="9" s="1"/>
  <c r="AV6" i="9" a="1"/>
  <c r="AV6" i="9" s="1"/>
  <c r="AV14" i="9" a="1"/>
  <c r="AV14" i="9" s="1"/>
  <c r="AV22" i="9" a="1"/>
  <c r="AV22" i="9" s="1"/>
  <c r="AV30" i="9" a="1"/>
  <c r="AV30" i="9" s="1"/>
  <c r="AV38" i="9" a="1"/>
  <c r="AV38" i="9" s="1"/>
  <c r="AV46" i="9" a="1"/>
  <c r="AV46" i="9" s="1"/>
  <c r="AV54" i="9" a="1"/>
  <c r="AV54" i="9" s="1"/>
  <c r="AV9" i="9" a="1"/>
  <c r="AV9" i="9" s="1"/>
  <c r="AV17" i="9" a="1"/>
  <c r="AV17" i="9" s="1"/>
  <c r="AV25" i="9" a="1"/>
  <c r="AV25" i="9" s="1"/>
  <c r="AV33" i="9" a="1"/>
  <c r="AV33" i="9" s="1"/>
  <c r="AV41" i="9" a="1"/>
  <c r="AV41" i="9" s="1"/>
  <c r="AV4" i="9" a="1"/>
  <c r="AV4" i="9" s="1"/>
  <c r="AV12" i="9" a="1"/>
  <c r="AV12" i="9" s="1"/>
  <c r="AV20" i="9" a="1"/>
  <c r="AV20" i="9" s="1"/>
  <c r="AV28" i="9" a="1"/>
  <c r="AV28" i="9" s="1"/>
  <c r="AV36" i="9" a="1"/>
  <c r="AV36" i="9" s="1"/>
  <c r="AV44" i="9" a="1"/>
  <c r="AV44" i="9" s="1"/>
  <c r="AV52" i="9" a="1"/>
  <c r="AV52" i="9" s="1"/>
  <c r="AV50" i="9" a="1"/>
  <c r="AV50" i="9" s="1"/>
  <c r="AV7" i="9" a="1"/>
  <c r="AV7" i="9" s="1"/>
  <c r="AV15" i="9" a="1"/>
  <c r="AV15" i="9" s="1"/>
  <c r="AV23" i="9" a="1"/>
  <c r="AV23" i="9" s="1"/>
  <c r="AV31" i="9" a="1"/>
  <c r="AV31" i="9" s="1"/>
  <c r="AV39" i="9" a="1"/>
  <c r="AV39" i="9" s="1"/>
  <c r="AV47" i="9" a="1"/>
  <c r="AV47" i="9" s="1"/>
  <c r="AV55" i="9" a="1"/>
  <c r="AV55" i="9" s="1"/>
  <c r="AV53" i="9" a="1"/>
  <c r="AV53" i="9" s="1"/>
  <c r="AV10" i="9" a="1"/>
  <c r="AV10" i="9" s="1"/>
  <c r="AV18" i="9" a="1"/>
  <c r="AV18" i="9" s="1"/>
  <c r="AV26" i="9" a="1"/>
  <c r="AV26" i="9" s="1"/>
  <c r="AV34" i="9" a="1"/>
  <c r="AV34" i="9" s="1"/>
  <c r="AV42" i="9" a="1"/>
  <c r="AV42" i="9" s="1"/>
  <c r="AV5" i="9" a="1"/>
  <c r="AV5" i="9" s="1"/>
  <c r="AV13" i="9" a="1"/>
  <c r="AV13" i="9" s="1"/>
  <c r="AV21" i="9" a="1"/>
  <c r="AV21" i="9" s="1"/>
  <c r="AV29" i="9" a="1"/>
  <c r="AV29" i="9" s="1"/>
  <c r="AV37" i="9" a="1"/>
  <c r="AV37" i="9" s="1"/>
  <c r="AV45" i="9" a="1"/>
  <c r="AV45" i="9" s="1"/>
  <c r="X12" i="9"/>
  <c r="X13" i="9"/>
  <c r="Y13" i="9" l="1"/>
  <c r="AB13" i="9"/>
  <c r="AA13" i="9"/>
  <c r="AB12" i="9"/>
  <c r="AA12" i="9"/>
  <c r="Y12" i="9"/>
  <c r="AW56" i="9"/>
  <c r="AW37" i="9"/>
  <c r="AW34" i="9"/>
  <c r="AW23" i="9"/>
  <c r="AW4" i="9"/>
  <c r="AW52" i="9"/>
  <c r="AW43" i="9"/>
  <c r="AW48" i="9"/>
  <c r="AW29" i="9"/>
  <c r="AW26" i="9"/>
  <c r="AW15" i="9"/>
  <c r="AW2" i="9"/>
  <c r="AW54" i="9"/>
  <c r="AW35" i="9"/>
  <c r="AW40" i="9"/>
  <c r="AW21" i="9"/>
  <c r="AW18" i="9"/>
  <c r="AW7" i="9"/>
  <c r="AW49" i="9"/>
  <c r="AW46" i="9"/>
  <c r="AW27" i="9"/>
  <c r="AW32" i="9"/>
  <c r="AW13" i="9"/>
  <c r="AW10" i="9"/>
  <c r="AW44" i="9"/>
  <c r="AW41" i="9"/>
  <c r="AW38" i="9"/>
  <c r="AW19" i="9"/>
  <c r="AW24" i="9"/>
  <c r="AW5" i="9"/>
  <c r="AW55" i="9"/>
  <c r="AW36" i="9"/>
  <c r="AW33" i="9"/>
  <c r="AW30" i="9"/>
  <c r="AW11" i="9"/>
  <c r="AW16" i="9"/>
  <c r="AW53" i="9"/>
  <c r="AW47" i="9"/>
  <c r="AW28" i="9"/>
  <c r="AW25" i="9"/>
  <c r="AW22" i="9"/>
  <c r="AW3" i="9"/>
  <c r="AW8" i="9"/>
  <c r="AW50" i="9"/>
  <c r="AW39" i="9"/>
  <c r="AW20" i="9"/>
  <c r="AW17" i="9"/>
  <c r="AW14" i="9"/>
  <c r="AW51" i="9"/>
  <c r="AW45" i="9"/>
  <c r="AW42" i="9"/>
  <c r="AW31" i="9"/>
  <c r="AW12" i="9"/>
  <c r="AW9" i="9"/>
  <c r="AW6" i="9"/>
  <c r="AP16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19BCF8-C213-4E7E-9C12-7A944529D42D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72709C84-07DE-494F-9D7C-941CCC1DF39F}" name="WorksheetConnection_Base de datos pacientes Lavergne y Petrovic.xlsx!Tabla2" type="102" refreshedVersion="8" minRefreshableVersion="5">
    <extLst>
      <ext xmlns:x15="http://schemas.microsoft.com/office/spreadsheetml/2010/11/main" uri="{DE250136-89BD-433C-8126-D09CA5730AF9}">
        <x15:connection id="Tabla2" autoDelete="1">
          <x15:rangePr sourceName="_xlcn.WorksheetConnection_BasededatospacientesLavergneyPetrovic.xlsxTabla2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<sst xmlns="http://schemas.openxmlformats.org/spreadsheetml/2006/main" count="1939" uniqueCount="330">
  <si>
    <t>PACIENTE</t>
  </si>
  <si>
    <t xml:space="preserve">NOMBRE </t>
  </si>
  <si>
    <t>T.I</t>
  </si>
  <si>
    <t xml:space="preserve">EDAD </t>
  </si>
  <si>
    <t xml:space="preserve">SEXO </t>
  </si>
  <si>
    <t>SNA</t>
  </si>
  <si>
    <t>SNB</t>
  </si>
  <si>
    <t>ANB</t>
  </si>
  <si>
    <t>ÁNGULO LM (S-N/Go-Me)</t>
  </si>
  <si>
    <t>ÁNGULO DE LA LÍNEA NASAL (S-N/ENA-ENP)</t>
  </si>
  <si>
    <t>MELANY VALBUENA</t>
  </si>
  <si>
    <t>F</t>
  </si>
  <si>
    <t>74°</t>
  </si>
  <si>
    <t>72°</t>
  </si>
  <si>
    <t>2°</t>
  </si>
  <si>
    <t>43°</t>
  </si>
  <si>
    <t>5°</t>
  </si>
  <si>
    <t>BALLORED BERMÚDEZ</t>
  </si>
  <si>
    <t>87°</t>
  </si>
  <si>
    <t>81°</t>
  </si>
  <si>
    <t>6°</t>
  </si>
  <si>
    <t>35°</t>
  </si>
  <si>
    <t>7°</t>
  </si>
  <si>
    <t xml:space="preserve">SARA RESTREPO </t>
  </si>
  <si>
    <t>69°</t>
  </si>
  <si>
    <t>70°</t>
  </si>
  <si>
    <t>1°</t>
  </si>
  <si>
    <t>45°</t>
  </si>
  <si>
    <t xml:space="preserve">PAULA GARZON </t>
  </si>
  <si>
    <t>80°</t>
  </si>
  <si>
    <t>77°</t>
  </si>
  <si>
    <t>3°</t>
  </si>
  <si>
    <t>33°</t>
  </si>
  <si>
    <t>4°</t>
  </si>
  <si>
    <t>ALLISON FAJARDO</t>
  </si>
  <si>
    <t>42°</t>
  </si>
  <si>
    <t>9°</t>
  </si>
  <si>
    <t>SARA SOFÍA SÁNCHEZ</t>
  </si>
  <si>
    <t>41°</t>
  </si>
  <si>
    <t>10°</t>
  </si>
  <si>
    <t xml:space="preserve">LORIANNE DEVIA </t>
  </si>
  <si>
    <t>40°</t>
  </si>
  <si>
    <t>14°</t>
  </si>
  <si>
    <t>BRIANNA HERNÁNDEZ</t>
  </si>
  <si>
    <t>84°</t>
  </si>
  <si>
    <t>79°</t>
  </si>
  <si>
    <t>8°</t>
  </si>
  <si>
    <t xml:space="preserve">ALISS PAEZ LOPEZ </t>
  </si>
  <si>
    <t>83°</t>
  </si>
  <si>
    <t>JEISON GIL CASTILLO</t>
  </si>
  <si>
    <t>M</t>
  </si>
  <si>
    <t>76°</t>
  </si>
  <si>
    <t>11°</t>
  </si>
  <si>
    <t>DANIEL CUEVAS</t>
  </si>
  <si>
    <t>(-4)</t>
  </si>
  <si>
    <t>44°</t>
  </si>
  <si>
    <t xml:space="preserve">CAMILA ALBARRACIN </t>
  </si>
  <si>
    <t>47°</t>
  </si>
  <si>
    <t xml:space="preserve">JUAN MONTES </t>
  </si>
  <si>
    <t>82°</t>
  </si>
  <si>
    <t>(-1°)</t>
  </si>
  <si>
    <t xml:space="preserve">KAROL BAUTISTA </t>
  </si>
  <si>
    <t xml:space="preserve">YOLIAN QUINTERO </t>
  </si>
  <si>
    <t>89°</t>
  </si>
  <si>
    <t>86°</t>
  </si>
  <si>
    <t>34°</t>
  </si>
  <si>
    <t xml:space="preserve">HELEN DÍAZ </t>
  </si>
  <si>
    <t>36°</t>
  </si>
  <si>
    <t>EMILY BALDION</t>
  </si>
  <si>
    <t xml:space="preserve">F </t>
  </si>
  <si>
    <t>78°</t>
  </si>
  <si>
    <t>16°</t>
  </si>
  <si>
    <t>JUAN QUINTERO</t>
  </si>
  <si>
    <t>MARIA CONTRERAS</t>
  </si>
  <si>
    <t>DANNA FUQUENE</t>
  </si>
  <si>
    <t>KAROL MENDEZ</t>
  </si>
  <si>
    <t>75°</t>
  </si>
  <si>
    <t>39°</t>
  </si>
  <si>
    <t>ANA NAVARRO</t>
  </si>
  <si>
    <t>17°</t>
  </si>
  <si>
    <t>ELIZABETH GOMEZ</t>
  </si>
  <si>
    <t>DILAN JIMENEZ</t>
  </si>
  <si>
    <t>90°</t>
  </si>
  <si>
    <t>88°</t>
  </si>
  <si>
    <t>73°</t>
  </si>
  <si>
    <t>49°</t>
  </si>
  <si>
    <t>ANA MIRANDA</t>
  </si>
  <si>
    <t>NICOL RUEDA</t>
  </si>
  <si>
    <t>JERSON MELO</t>
  </si>
  <si>
    <t>85°</t>
  </si>
  <si>
    <t>DANIEL MORENO</t>
  </si>
  <si>
    <t>37°</t>
  </si>
  <si>
    <t>ANA MARIA NAVARRETE</t>
  </si>
  <si>
    <t>SAMUEL BETANCOURT</t>
  </si>
  <si>
    <t>MARCUS DEVIA</t>
  </si>
  <si>
    <t>30°</t>
  </si>
  <si>
    <t>LAURA BERNAL</t>
  </si>
  <si>
    <t>PAULA ALEJANDRA LOZANO</t>
  </si>
  <si>
    <t>SARA MARTINEZ</t>
  </si>
  <si>
    <t>SAMUEL MARTINEZ</t>
  </si>
  <si>
    <t>LINA MARIANA BERMEO MORENO</t>
  </si>
  <si>
    <t>ASBLEIDY DAYANA TINJACA MALAVER</t>
  </si>
  <si>
    <t>46°</t>
  </si>
  <si>
    <t>15°</t>
  </si>
  <si>
    <t>VALERI MARTINEZ</t>
  </si>
  <si>
    <t>DANA FONSECA</t>
  </si>
  <si>
    <t>SAMARA CAMACHO</t>
  </si>
  <si>
    <t>38°</t>
  </si>
  <si>
    <t>EMILY CIFUENTES</t>
  </si>
  <si>
    <t xml:space="preserve">MIGUEL PARRA </t>
  </si>
  <si>
    <t>SOFÍA GÓMEZ</t>
  </si>
  <si>
    <t>ANA MARÍA BARRANTES</t>
  </si>
  <si>
    <t>67°</t>
  </si>
  <si>
    <t>64°</t>
  </si>
  <si>
    <t>51°</t>
  </si>
  <si>
    <t>ZAMARA VARGAS</t>
  </si>
  <si>
    <t>12°</t>
  </si>
  <si>
    <t>EMANUEL CASTILLO GUTIÉRREZ</t>
  </si>
  <si>
    <t>ANDRES INFANTE</t>
  </si>
  <si>
    <t>LAURA PALACIOS</t>
  </si>
  <si>
    <t>(-4°)</t>
  </si>
  <si>
    <t>GABRIELA SIERRA</t>
  </si>
  <si>
    <t>MARIANA BUSTOS</t>
  </si>
  <si>
    <t xml:space="preserve">MARIA FERNANDA MARTINEZ </t>
  </si>
  <si>
    <t xml:space="preserve">EVELIN BEDOYA </t>
  </si>
  <si>
    <t xml:space="preserve">MATHIAS ROJAS </t>
  </si>
  <si>
    <t xml:space="preserve">NICOL RAMIREZ </t>
  </si>
  <si>
    <t>31°</t>
  </si>
  <si>
    <t>MUESTRA</t>
  </si>
  <si>
    <t>IDENTIFICACIÓN T.I</t>
  </si>
  <si>
    <t>T1</t>
  </si>
  <si>
    <t>T2</t>
  </si>
  <si>
    <t>DX T2</t>
  </si>
  <si>
    <t>T3</t>
  </si>
  <si>
    <t>DX T3</t>
  </si>
  <si>
    <t>DIAGNÓSTICO DE TIPO ROTACIONAL</t>
  </si>
  <si>
    <t>DESCRIPCIÓN TIPO ROTACIONAL</t>
  </si>
  <si>
    <t>CATEGORÍA AUXOLÓGICA</t>
  </si>
  <si>
    <t>TRATAMIENTO / APARATO ORTOPÉDICO</t>
  </si>
  <si>
    <t>T22</t>
  </si>
  <si>
    <t>T221</t>
  </si>
  <si>
    <t>R1NOB</t>
  </si>
  <si>
    <t>Rotación neutra, Clase I, Relación normal, Mordida abierta</t>
  </si>
  <si>
    <t>T23</t>
  </si>
  <si>
    <t>T231</t>
  </si>
  <si>
    <t>P2DOB</t>
  </si>
  <si>
    <t>Rotación posterior, Clase II, Relación distal, Mordida abierta</t>
  </si>
  <si>
    <t>A3MOB</t>
  </si>
  <si>
    <t>Rotación anterior, Clase III, Relación mesial, Mordida abierta</t>
  </si>
  <si>
    <t>Rotación normal, Clase I, Relación normal, Mordida abierta</t>
  </si>
  <si>
    <t>R2DOB</t>
  </si>
  <si>
    <t>Rotación neutra, Clase II, Relación distal, Mordida abierta</t>
  </si>
  <si>
    <t>T223</t>
  </si>
  <si>
    <t>R2DDB</t>
  </si>
  <si>
    <t>Rotación neutra, Clase II, Relación distal, Mordida profunda</t>
  </si>
  <si>
    <t>P1NOB</t>
  </si>
  <si>
    <t>Rotación Posterior, Clase I, Relación normal, Mordida abierta</t>
  </si>
  <si>
    <t>R2DN</t>
  </si>
  <si>
    <t>Rotación neutra, Clase II, Relación distal, Mordida normal</t>
  </si>
  <si>
    <t>P1MOB</t>
  </si>
  <si>
    <t>Rotación posterior, Clase I, Relación mesial, Mordida abierta</t>
  </si>
  <si>
    <t>T232</t>
  </si>
  <si>
    <t>P2DN</t>
  </si>
  <si>
    <t>Rotación Posterior, Clase II, Relacion Distal, Mordida normal</t>
  </si>
  <si>
    <t>A1DN</t>
  </si>
  <si>
    <t>Rotación anterior, Clase I, Relación distal, Mordida normal</t>
  </si>
  <si>
    <t>T233</t>
  </si>
  <si>
    <t>P2DDB</t>
  </si>
  <si>
    <t>Rotación posterior, Clase II, Relación distal, Mordida profunda</t>
  </si>
  <si>
    <t>A1NOB</t>
  </si>
  <si>
    <t>Rotación anterior, Clase I, Relación normal, Mordida abierta</t>
  </si>
  <si>
    <t>A1NN</t>
  </si>
  <si>
    <t>Rotación anterior. Clase I, Relación normal, Mordida normal</t>
  </si>
  <si>
    <t>A3MN</t>
  </si>
  <si>
    <t>Rotación anterior, Clase III, Relación mesial, Mordida normal</t>
  </si>
  <si>
    <t>A2DDB</t>
  </si>
  <si>
    <t>Rotación anterior, Clase II, Relación distal, Mordida profunda</t>
  </si>
  <si>
    <t>A1DDB</t>
  </si>
  <si>
    <t>Rotación anterior, Clase I, Relación distral, Mordida profunda</t>
  </si>
  <si>
    <t>P1NDB</t>
  </si>
  <si>
    <t>Rotación posterior, Clase I, Relación normal, Mordida profunda</t>
  </si>
  <si>
    <t>T222</t>
  </si>
  <si>
    <t>1.5</t>
  </si>
  <si>
    <t>T21</t>
  </si>
  <si>
    <t>T213</t>
  </si>
  <si>
    <t>P1NN</t>
  </si>
  <si>
    <t>Rotación Posterior, Clase I, Relación Normal, Mordida normal</t>
  </si>
  <si>
    <t>T211</t>
  </si>
  <si>
    <t>A1DOB</t>
  </si>
  <si>
    <t>Rotación anterior, Clase II, Relación distal, Mordida abierta</t>
  </si>
  <si>
    <t>T212</t>
  </si>
  <si>
    <t>Rotación Posterior, Clase II, Relación distal, Mordida normal</t>
  </si>
  <si>
    <t>Rotación Posterior, Clase II, Relación distal, Mordida profunda</t>
  </si>
  <si>
    <t>R1NN</t>
  </si>
  <si>
    <t>Rotación neutra, Clase I, Relación normal, Mordida normal</t>
  </si>
  <si>
    <t>R1NDB</t>
  </si>
  <si>
    <t>Rotación neutra, Clase I, Relación normal, Mordida profunda</t>
  </si>
  <si>
    <t>P1MDB</t>
  </si>
  <si>
    <t>Rotación Posterior, Clase I, Relación mesial, Mordida profunda</t>
  </si>
  <si>
    <t>SEXO</t>
  </si>
  <si>
    <t>CANTIDAD DE PACIENTES</t>
  </si>
  <si>
    <t>EDAD</t>
  </si>
  <si>
    <t xml:space="preserve">Cuenta de SEXO </t>
  </si>
  <si>
    <t>Etiquetas de fila</t>
  </si>
  <si>
    <t>Etiquetas de columna</t>
  </si>
  <si>
    <t>TIPO ROTACIONAL</t>
  </si>
  <si>
    <t>Total general</t>
  </si>
  <si>
    <t>TOTAL</t>
  </si>
  <si>
    <t>(-1)</t>
  </si>
  <si>
    <t>Cuenta de DX T3</t>
  </si>
  <si>
    <t>Expected Values</t>
  </si>
  <si>
    <t>Total</t>
  </si>
  <si>
    <t>Chi-Square Test</t>
  </si>
  <si>
    <t>SUMMARY</t>
  </si>
  <si>
    <t>Alpha</t>
  </si>
  <si>
    <t>Count</t>
  </si>
  <si>
    <t>Rows</t>
  </si>
  <si>
    <t>Cols</t>
  </si>
  <si>
    <t>df</t>
  </si>
  <si>
    <t>CHI-SQUARE</t>
  </si>
  <si>
    <t xml:space="preserve"> </t>
  </si>
  <si>
    <t>chi-sq</t>
  </si>
  <si>
    <t>p-value</t>
  </si>
  <si>
    <t>x-crit</t>
  </si>
  <si>
    <t>sig</t>
  </si>
  <si>
    <t>Cramer V</t>
  </si>
  <si>
    <t>Pearson's</t>
  </si>
  <si>
    <t>Max likelihood</t>
  </si>
  <si>
    <t>Correspondence Analysis</t>
  </si>
  <si>
    <t>Proportional Matrix</t>
  </si>
  <si>
    <t>Eigenvalues</t>
  </si>
  <si>
    <t>eValue</t>
  </si>
  <si>
    <t>%</t>
  </si>
  <si>
    <t>cum %</t>
  </si>
  <si>
    <t>Plot Details for Rows</t>
  </si>
  <si>
    <t>Quality</t>
  </si>
  <si>
    <t>Mass</t>
  </si>
  <si>
    <t>Distance</t>
  </si>
  <si>
    <t>Inertia</t>
  </si>
  <si>
    <t>Factor 1</t>
  </si>
  <si>
    <t>Factor 2</t>
  </si>
  <si>
    <t>COR 1</t>
  </si>
  <si>
    <t>COR 2</t>
  </si>
  <si>
    <t>CTR 1</t>
  </si>
  <si>
    <t>CTR 2</t>
  </si>
  <si>
    <t>Plot Details for Columns</t>
  </si>
  <si>
    <t>Combined Profiles</t>
  </si>
  <si>
    <t>cluster</t>
  </si>
  <si>
    <t>Cluster</t>
  </si>
  <si>
    <t>Centroid</t>
  </si>
  <si>
    <t># of clusters</t>
  </si>
  <si>
    <t>Minkowski p</t>
  </si>
  <si>
    <t># of runs</t>
  </si>
  <si>
    <t>N/A</t>
  </si>
  <si>
    <t>X 1</t>
  </si>
  <si>
    <t>X 2</t>
  </si>
  <si>
    <t>X 3</t>
  </si>
  <si>
    <t>Dist^p</t>
  </si>
  <si>
    <t># of iter</t>
  </si>
  <si>
    <t>Converge</t>
  </si>
  <si>
    <t>Error</t>
  </si>
  <si>
    <t>datso</t>
  </si>
  <si>
    <t>Input in Excel Anova format</t>
  </si>
  <si>
    <t>ANOVA: Single Factor</t>
  </si>
  <si>
    <t>DESCRIPTION</t>
  </si>
  <si>
    <t>Group</t>
  </si>
  <si>
    <t>Sum</t>
  </si>
  <si>
    <t>Mean</t>
  </si>
  <si>
    <t>Variance</t>
  </si>
  <si>
    <t>SS</t>
  </si>
  <si>
    <t>Std Err</t>
  </si>
  <si>
    <t>Lower</t>
  </si>
  <si>
    <t>Upper</t>
  </si>
  <si>
    <t>ANOVA</t>
  </si>
  <si>
    <t>Sources</t>
  </si>
  <si>
    <t>MS</t>
  </si>
  <si>
    <t>P value</t>
  </si>
  <si>
    <t>Eta-sq</t>
  </si>
  <si>
    <t>RMSSE</t>
  </si>
  <si>
    <t>Omega Sq</t>
  </si>
  <si>
    <t>Between Groups</t>
  </si>
  <si>
    <t>Within Groups</t>
  </si>
  <si>
    <t>TUKEY HSD/KRAMER</t>
  </si>
  <si>
    <t>alpha</t>
  </si>
  <si>
    <t>group</t>
  </si>
  <si>
    <t>mean</t>
  </si>
  <si>
    <t>n</t>
  </si>
  <si>
    <t>ss</t>
  </si>
  <si>
    <t>q-crit</t>
  </si>
  <si>
    <t>Q TEST</t>
  </si>
  <si>
    <t>group 1</t>
  </si>
  <si>
    <t>group 2</t>
  </si>
  <si>
    <t>std err</t>
  </si>
  <si>
    <t>q-stat</t>
  </si>
  <si>
    <t>lower</t>
  </si>
  <si>
    <t>upper</t>
  </si>
  <si>
    <t>mean-crit</t>
  </si>
  <si>
    <t>Cohen d</t>
  </si>
  <si>
    <t>Kruskal-Wallis Test</t>
  </si>
  <si>
    <t>median</t>
  </si>
  <si>
    <t>rank sum</t>
  </si>
  <si>
    <t>count</t>
  </si>
  <si>
    <t>r^2/n</t>
  </si>
  <si>
    <t>H-stat</t>
  </si>
  <si>
    <t>H-ties</t>
  </si>
  <si>
    <t>Welch's Test</t>
  </si>
  <si>
    <t>Levene's Tests</t>
  </si>
  <si>
    <t>type</t>
  </si>
  <si>
    <t>means</t>
  </si>
  <si>
    <t>medians</t>
  </si>
  <si>
    <t>trimmed</t>
  </si>
  <si>
    <t>size</t>
  </si>
  <si>
    <t>t-crit</t>
  </si>
  <si>
    <t>NEMENYI TEST</t>
  </si>
  <si>
    <t>R sum</t>
  </si>
  <si>
    <t>R mean</t>
  </si>
  <si>
    <t>R-crit</t>
  </si>
  <si>
    <t>RANDOM FACTOR</t>
  </si>
  <si>
    <t>Estimate</t>
  </si>
  <si>
    <t>chi crit -</t>
  </si>
  <si>
    <t>chi crit +</t>
  </si>
  <si>
    <t>Brown-Forsythe Test</t>
  </si>
  <si>
    <t>Cuenta de DIAGNÓSTICO DE TIPO ROTACIONAL</t>
  </si>
  <si>
    <t>otras</t>
  </si>
  <si>
    <t>2. Tomar las medidas T1,T2,T3</t>
  </si>
  <si>
    <t>3. EVALURA EL DX ROTACIOPNAL AJUSTADO A ELLAS</t>
  </si>
  <si>
    <t>4. Utilizar cluster analisis por K-means, para separar los grupos</t>
  </si>
  <si>
    <t>4. realizar una analiis multivarido de correspondecia parfa ubicar las diferncais</t>
  </si>
  <si>
    <t>METODO ALTERNATIVO PARA UBICAR LOS GRUPOS DISTINTIVOS DE PETROVIC</t>
  </si>
  <si>
    <t>1. DETERMINAR LA ESTANDARIZACION DEL OPERADOR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</si>
</sst>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242424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A91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/>
    <xf numFmtId="0" fontId="1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7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1" applyFont="1"/>
    <xf numFmtId="0" fontId="0" fillId="3" borderId="8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0" fillId="0" borderId="14" xfId="0" applyBorder="1"/>
    <xf numFmtId="0" fontId="1" fillId="8" borderId="15" xfId="0" applyFont="1" applyFill="1" applyBorder="1"/>
    <xf numFmtId="0" fontId="1" fillId="8" borderId="16" xfId="0" applyFont="1" applyFill="1" applyBorder="1" applyAlignment="1">
      <alignment horizontal="left"/>
    </xf>
    <xf numFmtId="0" fontId="1" fillId="8" borderId="16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6" fillId="0" borderId="2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7" xfId="0" applyBorder="1"/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17" xfId="0" applyBorder="1"/>
    <xf numFmtId="0" fontId="0" fillId="0" borderId="0" xfId="0" applyAlignment="1">
      <alignment horizontal="right"/>
    </xf>
    <xf numFmtId="0" fontId="0" fillId="0" borderId="1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right"/>
    </xf>
    <xf numFmtId="0" fontId="0" fillId="0" borderId="31" xfId="0" applyBorder="1"/>
    <xf numFmtId="0" fontId="0" fillId="9" borderId="0" xfId="0" applyFill="1" applyAlignment="1">
      <alignment horizontal="left"/>
    </xf>
    <xf numFmtId="0" fontId="0" fillId="10" borderId="0" xfId="0" applyFill="1" applyAlignment="1">
      <alignment horizontal="left"/>
    </xf>
  </cellXfs>
  <cellStyles count="2">
    <cellStyle name="Normal" xfId="0" builtinId="0"/>
    <cellStyle name="Porcentaje" xfId="1" builtinId="5"/>
  </cellStyles>
  <dxfs count="17"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alignment wrapText="1"/>
    </dxf>
    <dxf>
      <alignment vertical="center"/>
    </dxf>
    <dxf>
      <alignment vertical="center"/>
    </dxf>
    <dxf>
      <alignment horizontal="center"/>
    </dxf>
    <dxf>
      <alignment horizontal="center"/>
    </dxf>
  </dxfs>
  <tableStyles count="1" defaultTableStyle="TableStyleMedium2" defaultPivotStyle="PivotStyleLight16">
    <tableStyle name="Invisible" pivot="0" table="0" count="0" xr9:uid="{06B37484-EE5B-44B6-9AFC-B1D33438031A}"/>
  </tableStyles>
  <colors>
    <mruColors>
      <color rgb="FFFA9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Combined CA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dPt>
            <c:idx val="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B14C-455C-83B4-945DC34BF454}"/>
              </c:ext>
            </c:extLst>
          </c:dPt>
          <c:dPt>
            <c:idx val="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B14C-455C-83B4-945DC34BF454}"/>
              </c:ext>
            </c:extLst>
          </c:dPt>
          <c:dPt>
            <c:idx val="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14C-455C-83B4-945DC34BF454}"/>
              </c:ext>
            </c:extLst>
          </c:dPt>
          <c:dPt>
            <c:idx val="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14C-455C-83B4-945DC34BF454}"/>
              </c:ext>
            </c:extLst>
          </c:dPt>
          <c:dPt>
            <c:idx val="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14C-455C-83B4-945DC34BF454}"/>
              </c:ext>
            </c:extLst>
          </c:dPt>
          <c:dPt>
            <c:idx val="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14C-455C-83B4-945DC34BF454}"/>
              </c:ext>
            </c:extLst>
          </c:dPt>
          <c:dPt>
            <c:idx val="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14C-455C-83B4-945DC34BF454}"/>
              </c:ext>
            </c:extLst>
          </c:dPt>
          <c:dPt>
            <c:idx val="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14C-455C-83B4-945DC34BF454}"/>
              </c:ext>
            </c:extLst>
          </c:dPt>
          <c:dPt>
            <c:idx val="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14C-455C-83B4-945DC34BF454}"/>
              </c:ext>
            </c:extLst>
          </c:dPt>
          <c:dPt>
            <c:idx val="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14C-455C-83B4-945DC34BF454}"/>
              </c:ext>
            </c:extLst>
          </c:dPt>
          <c:dPt>
            <c:idx val="1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14C-455C-83B4-945DC34BF454}"/>
              </c:ext>
            </c:extLst>
          </c:dPt>
          <c:dPt>
            <c:idx val="1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14C-455C-83B4-945DC34BF454}"/>
              </c:ext>
            </c:extLst>
          </c:dPt>
          <c:dPt>
            <c:idx val="1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14C-455C-83B4-945DC34BF454}"/>
              </c:ext>
            </c:extLst>
          </c:dPt>
          <c:dPt>
            <c:idx val="1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14C-455C-83B4-945DC34BF454}"/>
              </c:ext>
            </c:extLst>
          </c:dPt>
          <c:dPt>
            <c:idx val="1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14C-455C-83B4-945DC34BF454}"/>
              </c:ext>
            </c:extLst>
          </c:dPt>
          <c:dPt>
            <c:idx val="1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14C-455C-83B4-945DC34BF454}"/>
              </c:ext>
            </c:extLst>
          </c:dPt>
          <c:dPt>
            <c:idx val="1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14C-455C-83B4-945DC34BF454}"/>
              </c:ext>
            </c:extLst>
          </c:dPt>
          <c:dPt>
            <c:idx val="1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14C-455C-83B4-945DC34BF454}"/>
              </c:ext>
            </c:extLst>
          </c:dPt>
          <c:dPt>
            <c:idx val="1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14C-455C-83B4-945DC34BF454}"/>
              </c:ext>
            </c:extLst>
          </c:dPt>
          <c:dPt>
            <c:idx val="1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14C-455C-83B4-945DC34BF454}"/>
              </c:ext>
            </c:extLst>
          </c:dPt>
          <c:dPt>
            <c:idx val="2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14C-455C-83B4-945DC34BF454}"/>
              </c:ext>
            </c:extLst>
          </c:dPt>
          <c:dPt>
            <c:idx val="2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14C-455C-83B4-945DC34BF454}"/>
              </c:ext>
            </c:extLst>
          </c:dPt>
          <c:dPt>
            <c:idx val="22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6-B14C-455C-83B4-945DC34BF454}"/>
              </c:ext>
            </c:extLst>
          </c:dPt>
          <c:dPt>
            <c:idx val="23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7-B14C-455C-83B4-945DC34BF454}"/>
              </c:ext>
            </c:extLst>
          </c:dPt>
          <c:dPt>
            <c:idx val="24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8-B14C-455C-83B4-945DC34BF454}"/>
              </c:ext>
            </c:extLst>
          </c:dPt>
          <c:dLbls>
            <c:dLbl>
              <c:idx val="0"/>
              <c:layout>
                <c:manualLayout>
                  <c:x val="0.10833333333333334"/>
                  <c:y val="-0.152777777777777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14C-455C-83B4-945DC34BF454}"/>
                </c:ext>
              </c:extLst>
            </c:dLbl>
            <c:dLbl>
              <c:idx val="1"/>
              <c:layout>
                <c:manualLayout>
                  <c:x val="-5.5555555555555558E-3"/>
                  <c:y val="0.1296296296296295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14C-455C-83B4-945DC34BF4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A1DOB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14C-455C-83B4-945DC34BF454}"/>
                </c:ext>
              </c:extLst>
            </c:dLbl>
            <c:dLbl>
              <c:idx val="3"/>
              <c:layout>
                <c:manualLayout>
                  <c:x val="1.3888888888888888E-2"/>
                  <c:y val="-0.199074074074074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14C-455C-83B4-945DC34BF454}"/>
                </c:ext>
              </c:extLst>
            </c:dLbl>
            <c:dLbl>
              <c:idx val="4"/>
              <c:layout>
                <c:manualLayout>
                  <c:x val="-0.14444444444444443"/>
                  <c:y val="-0.26851851851851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14C-455C-83B4-945DC34BF454}"/>
                </c:ext>
              </c:extLst>
            </c:dLbl>
            <c:dLbl>
              <c:idx val="5"/>
              <c:layout>
                <c:manualLayout>
                  <c:x val="-6.3888888888888939E-2"/>
                  <c:y val="-0.1111111111111111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14C-455C-83B4-945DC34BF45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A3MN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B14C-455C-83B4-945DC34BF454}"/>
                </c:ext>
              </c:extLst>
            </c:dLbl>
            <c:dLbl>
              <c:idx val="7"/>
              <c:layout>
                <c:manualLayout>
                  <c:x val="0.11666666666666667"/>
                  <c:y val="4.1666666666666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A3MOB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B14C-455C-83B4-945DC34BF454}"/>
                </c:ext>
              </c:extLst>
            </c:dLbl>
            <c:dLbl>
              <c:idx val="8"/>
              <c:layout>
                <c:manualLayout>
                  <c:x val="-0.125"/>
                  <c:y val="-0.1898148148148148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B14C-455C-83B4-945DC34BF454}"/>
                </c:ext>
              </c:extLst>
            </c:dLbl>
            <c:dLbl>
              <c:idx val="9"/>
              <c:layout>
                <c:manualLayout>
                  <c:x val="-0.10833333333333334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B14C-455C-83B4-945DC34BF454}"/>
                </c:ext>
              </c:extLst>
            </c:dLbl>
            <c:dLbl>
              <c:idx val="10"/>
              <c:layout>
                <c:manualLayout>
                  <c:x val="1.9444444444444545E-2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B14C-455C-83B4-945DC34BF454}"/>
                </c:ext>
              </c:extLst>
            </c:dLbl>
            <c:dLbl>
              <c:idx val="11"/>
              <c:layout>
                <c:manualLayout>
                  <c:x val="-0.19166666666666668"/>
                  <c:y val="-4.62962962962979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B14C-455C-83B4-945DC34BF45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P1NOB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B14C-455C-83B4-945DC34BF454}"/>
                </c:ext>
              </c:extLst>
            </c:dLbl>
            <c:dLbl>
              <c:idx val="13"/>
              <c:layout>
                <c:manualLayout>
                  <c:x val="-0.1361111111111111"/>
                  <c:y val="-9.72222222222223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B14C-455C-83B4-945DC34BF454}"/>
                </c:ext>
              </c:extLst>
            </c:dLbl>
            <c:dLbl>
              <c:idx val="14"/>
              <c:layout>
                <c:manualLayout>
                  <c:x val="0.11111111111111101"/>
                  <c:y val="-4.2437781360066642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B14C-455C-83B4-945DC34BF45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P2DOB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B14C-455C-83B4-945DC34BF454}"/>
                </c:ext>
              </c:extLst>
            </c:dLbl>
            <c:dLbl>
              <c:idx val="16"/>
              <c:layout>
                <c:manualLayout>
                  <c:x val="1.0185067526415994E-16"/>
                  <c:y val="-0.1064814814814814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B14C-455C-83B4-945DC34BF454}"/>
                </c:ext>
              </c:extLst>
            </c:dLbl>
            <c:dLbl>
              <c:idx val="17"/>
              <c:layout>
                <c:manualLayout>
                  <c:x val="-8.0555555555555561E-2"/>
                  <c:y val="6.94444444444444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B14C-455C-83B4-945DC34BF454}"/>
                </c:ext>
              </c:extLst>
            </c:dLbl>
            <c:dLbl>
              <c:idx val="18"/>
              <c:layout>
                <c:manualLayout>
                  <c:x val="-0.05"/>
                  <c:y val="-0.1712962962962963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B14C-455C-83B4-945DC34BF454}"/>
                </c:ext>
              </c:extLst>
            </c:dLbl>
            <c:dLbl>
              <c:idx val="19"/>
              <c:layout>
                <c:manualLayout>
                  <c:x val="9.7222222222222224E-2"/>
                  <c:y val="-9.25925925925926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B14C-455C-83B4-945DC34BF454}"/>
                </c:ext>
              </c:extLst>
            </c:dLbl>
            <c:dLbl>
              <c:idx val="20"/>
              <c:layout>
                <c:manualLayout>
                  <c:x val="8.055555555555545E-2"/>
                  <c:y val="7.40740740740740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B14C-455C-83B4-945DC34BF454}"/>
                </c:ext>
              </c:extLst>
            </c:dLbl>
            <c:dLbl>
              <c:idx val="21"/>
              <c:layout>
                <c:manualLayout>
                  <c:x val="1.6666666666666642E-2"/>
                  <c:y val="9.72222222222220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B14C-455C-83B4-945DC34BF45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B14C-455C-83B4-945DC34BF45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B14C-455C-83B4-945DC34BF45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B14C-455C-83B4-945DC34BF45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Hoja3!$GZ$8:$GZ$32</c:f>
              <c:numCache>
                <c:formatCode>General</c:formatCode>
                <c:ptCount val="25"/>
                <c:pt idx="0">
                  <c:v>0.82064971056926417</c:v>
                </c:pt>
                <c:pt idx="1">
                  <c:v>0.18166840863353506</c:v>
                </c:pt>
                <c:pt idx="2">
                  <c:v>-1.1368219113504965</c:v>
                </c:pt>
                <c:pt idx="3">
                  <c:v>0.82064971056926461</c:v>
                </c:pt>
                <c:pt idx="4">
                  <c:v>-1.1368219113504965</c:v>
                </c:pt>
                <c:pt idx="5">
                  <c:v>0.18166840863353498</c:v>
                </c:pt>
                <c:pt idx="6">
                  <c:v>1.4596310125049941</c:v>
                </c:pt>
                <c:pt idx="7">
                  <c:v>-1.1368219113504969</c:v>
                </c:pt>
                <c:pt idx="8">
                  <c:v>1.4596310125049941</c:v>
                </c:pt>
                <c:pt idx="9">
                  <c:v>-1.1368219113504967</c:v>
                </c:pt>
                <c:pt idx="10">
                  <c:v>1.4596310125049941</c:v>
                </c:pt>
                <c:pt idx="11">
                  <c:v>1.4596310125049936</c:v>
                </c:pt>
                <c:pt idx="12">
                  <c:v>-0.47757675135848093</c:v>
                </c:pt>
                <c:pt idx="13">
                  <c:v>1.4596310125049936</c:v>
                </c:pt>
                <c:pt idx="14">
                  <c:v>0.18166840863353495</c:v>
                </c:pt>
                <c:pt idx="15">
                  <c:v>-0.69732513802248608</c:v>
                </c:pt>
                <c:pt idx="16">
                  <c:v>1.4596310125049941</c:v>
                </c:pt>
                <c:pt idx="17">
                  <c:v>1.4596310125049941</c:v>
                </c:pt>
                <c:pt idx="18">
                  <c:v>-1.1368219113504989</c:v>
                </c:pt>
                <c:pt idx="19">
                  <c:v>0.18166840863353492</c:v>
                </c:pt>
                <c:pt idx="20">
                  <c:v>0.18166840863353492</c:v>
                </c:pt>
                <c:pt idx="21">
                  <c:v>-1.1368219113504965</c:v>
                </c:pt>
                <c:pt idx="22">
                  <c:v>-1.0906416223151889</c:v>
                </c:pt>
                <c:pt idx="23">
                  <c:v>0.17428862510234433</c:v>
                </c:pt>
                <c:pt idx="24">
                  <c:v>1.4003374843196481</c:v>
                </c:pt>
              </c:numCache>
            </c:numRef>
          </c:xVal>
          <c:yVal>
            <c:numRef>
              <c:f>Hoja3!$HA$8:$HA$32</c:f>
              <c:numCache>
                <c:formatCode>General</c:formatCode>
                <c:ptCount val="25"/>
                <c:pt idx="0">
                  <c:v>0.10429519109729425</c:v>
                </c:pt>
                <c:pt idx="1">
                  <c:v>1.2339173979080276</c:v>
                </c:pt>
                <c:pt idx="2">
                  <c:v>-0.64305388173509659</c:v>
                </c:pt>
                <c:pt idx="3">
                  <c:v>0.10429519109729321</c:v>
                </c:pt>
                <c:pt idx="4">
                  <c:v>-0.64305388173509614</c:v>
                </c:pt>
                <c:pt idx="5">
                  <c:v>1.2339173979080276</c:v>
                </c:pt>
                <c:pt idx="6">
                  <c:v>-1.0253270157134411</c:v>
                </c:pt>
                <c:pt idx="7">
                  <c:v>-0.64305388173509626</c:v>
                </c:pt>
                <c:pt idx="8">
                  <c:v>-1.0253270157134411</c:v>
                </c:pt>
                <c:pt idx="9">
                  <c:v>-0.64305388173509614</c:v>
                </c:pt>
                <c:pt idx="10">
                  <c:v>-1.0253270157134415</c:v>
                </c:pt>
                <c:pt idx="11">
                  <c:v>-1.0253270157134413</c:v>
                </c:pt>
                <c:pt idx="12">
                  <c:v>0.29543175808646588</c:v>
                </c:pt>
                <c:pt idx="13">
                  <c:v>-1.0253270157134409</c:v>
                </c:pt>
                <c:pt idx="14">
                  <c:v>1.2339173979080276</c:v>
                </c:pt>
                <c:pt idx="15">
                  <c:v>-1.7396788520721882E-2</c:v>
                </c:pt>
                <c:pt idx="16">
                  <c:v>-1.0253270157134415</c:v>
                </c:pt>
                <c:pt idx="17">
                  <c:v>-1.0253270157134415</c:v>
                </c:pt>
                <c:pt idx="18">
                  <c:v>-0.64305388173509659</c:v>
                </c:pt>
                <c:pt idx="19">
                  <c:v>1.2339173979080276</c:v>
                </c:pt>
                <c:pt idx="20">
                  <c:v>1.2339173979080278</c:v>
                </c:pt>
                <c:pt idx="21">
                  <c:v>-0.64305388173509648</c:v>
                </c:pt>
                <c:pt idx="22">
                  <c:v>-0.57505251593196849</c:v>
                </c:pt>
                <c:pt idx="23">
                  <c:v>1.1034336690491244</c:v>
                </c:pt>
                <c:pt idx="24">
                  <c:v>-0.91690120654916085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B14C-455C-83B4-945DC34BF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9940288"/>
        <c:axId val="711873952"/>
      </c:scatterChart>
      <c:valAx>
        <c:axId val="194994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1873952"/>
        <c:crosses val="autoZero"/>
        <c:crossBetween val="midCat"/>
      </c:valAx>
      <c:valAx>
        <c:axId val="711873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949940288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Combined CA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dPt>
            <c:idx val="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1C45-48FB-9E47-5D6AAEEF8F40}"/>
              </c:ext>
            </c:extLst>
          </c:dPt>
          <c:dPt>
            <c:idx val="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1C45-48FB-9E47-5D6AAEEF8F40}"/>
              </c:ext>
            </c:extLst>
          </c:dPt>
          <c:dPt>
            <c:idx val="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C45-48FB-9E47-5D6AAEEF8F40}"/>
              </c:ext>
            </c:extLst>
          </c:dPt>
          <c:dPt>
            <c:idx val="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C45-48FB-9E47-5D6AAEEF8F40}"/>
              </c:ext>
            </c:extLst>
          </c:dPt>
          <c:dPt>
            <c:idx val="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C45-48FB-9E47-5D6AAEEF8F40}"/>
              </c:ext>
            </c:extLst>
          </c:dPt>
          <c:dPt>
            <c:idx val="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C45-48FB-9E47-5D6AAEEF8F40}"/>
              </c:ext>
            </c:extLst>
          </c:dPt>
          <c:dPt>
            <c:idx val="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C45-48FB-9E47-5D6AAEEF8F40}"/>
              </c:ext>
            </c:extLst>
          </c:dPt>
          <c:dPt>
            <c:idx val="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C45-48FB-9E47-5D6AAEEF8F40}"/>
              </c:ext>
            </c:extLst>
          </c:dPt>
          <c:dPt>
            <c:idx val="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45-48FB-9E47-5D6AAEEF8F40}"/>
              </c:ext>
            </c:extLst>
          </c:dPt>
          <c:dPt>
            <c:idx val="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45-48FB-9E47-5D6AAEEF8F40}"/>
              </c:ext>
            </c:extLst>
          </c:dPt>
          <c:dPt>
            <c:idx val="1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45-48FB-9E47-5D6AAEEF8F40}"/>
              </c:ext>
            </c:extLst>
          </c:dPt>
          <c:dPt>
            <c:idx val="1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45-48FB-9E47-5D6AAEEF8F40}"/>
              </c:ext>
            </c:extLst>
          </c:dPt>
          <c:dPt>
            <c:idx val="12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45-48FB-9E47-5D6AAEEF8F40}"/>
              </c:ext>
            </c:extLst>
          </c:dPt>
          <c:dPt>
            <c:idx val="13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45-48FB-9E47-5D6AAEEF8F40}"/>
              </c:ext>
            </c:extLst>
          </c:dPt>
          <c:dPt>
            <c:idx val="14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45-48FB-9E47-5D6AAEEF8F40}"/>
              </c:ext>
            </c:extLst>
          </c:dPt>
          <c:dPt>
            <c:idx val="15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45-48FB-9E47-5D6AAEEF8F40}"/>
              </c:ext>
            </c:extLst>
          </c:dPt>
          <c:dPt>
            <c:idx val="16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45-48FB-9E47-5D6AAEEF8F40}"/>
              </c:ext>
            </c:extLst>
          </c:dPt>
          <c:dPt>
            <c:idx val="17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45-48FB-9E47-5D6AAEEF8F40}"/>
              </c:ext>
            </c:extLst>
          </c:dPt>
          <c:dPt>
            <c:idx val="18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45-48FB-9E47-5D6AAEEF8F40}"/>
              </c:ext>
            </c:extLst>
          </c:dPt>
          <c:dPt>
            <c:idx val="19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45-48FB-9E47-5D6AAEEF8F40}"/>
              </c:ext>
            </c:extLst>
          </c:dPt>
          <c:dPt>
            <c:idx val="20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45-48FB-9E47-5D6AAEEF8F40}"/>
              </c:ext>
            </c:extLst>
          </c:dPt>
          <c:dPt>
            <c:idx val="21"/>
            <c:marker>
              <c:symbol val="square"/>
              <c:size val="6"/>
              <c:spPr>
                <a:solidFill>
                  <a:srgbClr val="FF0000"/>
                </a:solidFill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45-48FB-9E47-5D6AAEEF8F40}"/>
              </c:ext>
            </c:extLst>
          </c:dPt>
          <c:dPt>
            <c:idx val="22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6-1C45-48FB-9E47-5D6AAEEF8F40}"/>
              </c:ext>
            </c:extLst>
          </c:dPt>
          <c:dPt>
            <c:idx val="23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7-1C45-48FB-9E47-5D6AAEEF8F40}"/>
              </c:ext>
            </c:extLst>
          </c:dPt>
          <c:dPt>
            <c:idx val="24"/>
            <c:marker>
              <c:symbol val="diamond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18-1C45-48FB-9E47-5D6AAEEF8F40}"/>
              </c:ext>
            </c:extLst>
          </c:dPt>
          <c:dLbls>
            <c:dLbl>
              <c:idx val="0"/>
              <c:layout>
                <c:manualLayout>
                  <c:x val="0.10833333333333334"/>
                  <c:y val="-0.152777777777777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1C45-48FB-9E47-5D6AAEEF8F40}"/>
                </c:ext>
              </c:extLst>
            </c:dLbl>
            <c:dLbl>
              <c:idx val="1"/>
              <c:layout>
                <c:manualLayout>
                  <c:x val="-5.5555555555555558E-3"/>
                  <c:y val="0.1296296296296295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C45-48FB-9E47-5D6AAEEF8F4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A1DOB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C45-48FB-9E47-5D6AAEEF8F40}"/>
                </c:ext>
              </c:extLst>
            </c:dLbl>
            <c:dLbl>
              <c:idx val="3"/>
              <c:layout>
                <c:manualLayout>
                  <c:x val="1.3888888888888888E-2"/>
                  <c:y val="-0.199074074074074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C45-48FB-9E47-5D6AAEEF8F40}"/>
                </c:ext>
              </c:extLst>
            </c:dLbl>
            <c:dLbl>
              <c:idx val="4"/>
              <c:layout>
                <c:manualLayout>
                  <c:x val="-0.14444444444444443"/>
                  <c:y val="-0.268518518518518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1C45-48FB-9E47-5D6AAEEF8F40}"/>
                </c:ext>
              </c:extLst>
            </c:dLbl>
            <c:dLbl>
              <c:idx val="5"/>
              <c:layout>
                <c:manualLayout>
                  <c:x val="-6.3888888888888939E-2"/>
                  <c:y val="-0.1111111111111111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1C45-48FB-9E47-5D6AAEEF8F4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A3MN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1C45-48FB-9E47-5D6AAEEF8F40}"/>
                </c:ext>
              </c:extLst>
            </c:dLbl>
            <c:dLbl>
              <c:idx val="7"/>
              <c:layout>
                <c:manualLayout>
                  <c:x val="0.11666666666666667"/>
                  <c:y val="4.16666666666665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A3MOB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1C45-48FB-9E47-5D6AAEEF8F40}"/>
                </c:ext>
              </c:extLst>
            </c:dLbl>
            <c:dLbl>
              <c:idx val="8"/>
              <c:layout>
                <c:manualLayout>
                  <c:x val="-0.125"/>
                  <c:y val="-0.1898148148148148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1C45-48FB-9E47-5D6AAEEF8F40}"/>
                </c:ext>
              </c:extLst>
            </c:dLbl>
            <c:dLbl>
              <c:idx val="9"/>
              <c:layout>
                <c:manualLayout>
                  <c:x val="-0.10833333333333334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P1MOB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1C45-48FB-9E47-5D6AAEEF8F40}"/>
                </c:ext>
              </c:extLst>
            </c:dLbl>
            <c:dLbl>
              <c:idx val="10"/>
              <c:layout>
                <c:manualLayout>
                  <c:x val="1.9444444444444545E-2"/>
                  <c:y val="0.111111111111111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1C45-48FB-9E47-5D6AAEEF8F40}"/>
                </c:ext>
              </c:extLst>
            </c:dLbl>
            <c:dLbl>
              <c:idx val="11"/>
              <c:layout>
                <c:manualLayout>
                  <c:x val="-0.19166666666666668"/>
                  <c:y val="-4.62962962962979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1C45-48FB-9E47-5D6AAEEF8F4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P1NOB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1C45-48FB-9E47-5D6AAEEF8F40}"/>
                </c:ext>
              </c:extLst>
            </c:dLbl>
            <c:dLbl>
              <c:idx val="13"/>
              <c:layout>
                <c:manualLayout>
                  <c:x val="-0.1361111111111111"/>
                  <c:y val="-9.722222222222230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1C45-48FB-9E47-5D6AAEEF8F40}"/>
                </c:ext>
              </c:extLst>
            </c:dLbl>
            <c:dLbl>
              <c:idx val="14"/>
              <c:layout>
                <c:manualLayout>
                  <c:x val="0.11111111111111101"/>
                  <c:y val="-4.2437781360066642E-1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1C45-48FB-9E47-5D6AAEEF8F4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P2DOB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1C45-48FB-9E47-5D6AAEEF8F40}"/>
                </c:ext>
              </c:extLst>
            </c:dLbl>
            <c:dLbl>
              <c:idx val="16"/>
              <c:layout>
                <c:manualLayout>
                  <c:x val="1.0185067526415994E-16"/>
                  <c:y val="-0.1064814814814814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1C45-48FB-9E47-5D6AAEEF8F40}"/>
                </c:ext>
              </c:extLst>
            </c:dLbl>
            <c:dLbl>
              <c:idx val="17"/>
              <c:layout>
                <c:manualLayout>
                  <c:x val="-8.0555555555555561E-2"/>
                  <c:y val="6.944444444444444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1C45-48FB-9E47-5D6AAEEF8F40}"/>
                </c:ext>
              </c:extLst>
            </c:dLbl>
            <c:dLbl>
              <c:idx val="18"/>
              <c:layout>
                <c:manualLayout>
                  <c:x val="-0.05"/>
                  <c:y val="-0.1712962962962963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R1NOB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1C45-48FB-9E47-5D6AAEEF8F40}"/>
                </c:ext>
              </c:extLst>
            </c:dLbl>
            <c:dLbl>
              <c:idx val="19"/>
              <c:layout>
                <c:manualLayout>
                  <c:x val="9.7222222222222224E-2"/>
                  <c:y val="-9.25925925925926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R2DDB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1C45-48FB-9E47-5D6AAEEF8F40}"/>
                </c:ext>
              </c:extLst>
            </c:dLbl>
            <c:dLbl>
              <c:idx val="20"/>
              <c:layout>
                <c:manualLayout>
                  <c:x val="8.055555555555545E-2"/>
                  <c:y val="7.407407407407402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1C45-48FB-9E47-5D6AAEEF8F40}"/>
                </c:ext>
              </c:extLst>
            </c:dLbl>
            <c:dLbl>
              <c:idx val="21"/>
              <c:layout>
                <c:manualLayout>
                  <c:x val="1.6666666666666642E-2"/>
                  <c:y val="9.722222222222205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R2DOB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1C45-48FB-9E47-5D6AAEEF8F4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1C45-48FB-9E47-5D6AAEEF8F4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1C45-48FB-9E47-5D6AAEEF8F4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1C45-48FB-9E47-5D6AAEEF8F4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Hoja3!$GZ$8:$GZ$32</c:f>
              <c:numCache>
                <c:formatCode>General</c:formatCode>
                <c:ptCount val="25"/>
                <c:pt idx="0">
                  <c:v>0.82064971056926417</c:v>
                </c:pt>
                <c:pt idx="1">
                  <c:v>0.18166840863353506</c:v>
                </c:pt>
                <c:pt idx="2">
                  <c:v>-1.1368219113504965</c:v>
                </c:pt>
                <c:pt idx="3">
                  <c:v>0.82064971056926461</c:v>
                </c:pt>
                <c:pt idx="4">
                  <c:v>-1.1368219113504965</c:v>
                </c:pt>
                <c:pt idx="5">
                  <c:v>0.18166840863353498</c:v>
                </c:pt>
                <c:pt idx="6">
                  <c:v>1.4596310125049941</c:v>
                </c:pt>
                <c:pt idx="7">
                  <c:v>-1.1368219113504969</c:v>
                </c:pt>
                <c:pt idx="8">
                  <c:v>1.4596310125049941</c:v>
                </c:pt>
                <c:pt idx="9">
                  <c:v>-1.1368219113504967</c:v>
                </c:pt>
                <c:pt idx="10">
                  <c:v>1.4596310125049941</c:v>
                </c:pt>
                <c:pt idx="11">
                  <c:v>1.4596310125049936</c:v>
                </c:pt>
                <c:pt idx="12">
                  <c:v>-0.47757675135848093</c:v>
                </c:pt>
                <c:pt idx="13">
                  <c:v>1.4596310125049936</c:v>
                </c:pt>
                <c:pt idx="14">
                  <c:v>0.18166840863353495</c:v>
                </c:pt>
                <c:pt idx="15">
                  <c:v>-0.69732513802248608</c:v>
                </c:pt>
                <c:pt idx="16">
                  <c:v>1.4596310125049941</c:v>
                </c:pt>
                <c:pt idx="17">
                  <c:v>1.4596310125049941</c:v>
                </c:pt>
                <c:pt idx="18">
                  <c:v>-1.1368219113504989</c:v>
                </c:pt>
                <c:pt idx="19">
                  <c:v>0.18166840863353492</c:v>
                </c:pt>
                <c:pt idx="20">
                  <c:v>0.18166840863353492</c:v>
                </c:pt>
                <c:pt idx="21">
                  <c:v>-1.1368219113504965</c:v>
                </c:pt>
                <c:pt idx="22">
                  <c:v>-1.0906416223151889</c:v>
                </c:pt>
                <c:pt idx="23">
                  <c:v>0.17428862510234433</c:v>
                </c:pt>
                <c:pt idx="24">
                  <c:v>1.4003374843196481</c:v>
                </c:pt>
              </c:numCache>
            </c:numRef>
          </c:xVal>
          <c:yVal>
            <c:numRef>
              <c:f>Hoja3!$HA$8:$HA$32</c:f>
              <c:numCache>
                <c:formatCode>General</c:formatCode>
                <c:ptCount val="25"/>
                <c:pt idx="0">
                  <c:v>0.10429519109729425</c:v>
                </c:pt>
                <c:pt idx="1">
                  <c:v>1.2339173979080276</c:v>
                </c:pt>
                <c:pt idx="2">
                  <c:v>-0.64305388173509659</c:v>
                </c:pt>
                <c:pt idx="3">
                  <c:v>0.10429519109729321</c:v>
                </c:pt>
                <c:pt idx="4">
                  <c:v>-0.64305388173509614</c:v>
                </c:pt>
                <c:pt idx="5">
                  <c:v>1.2339173979080276</c:v>
                </c:pt>
                <c:pt idx="6">
                  <c:v>-1.0253270157134411</c:v>
                </c:pt>
                <c:pt idx="7">
                  <c:v>-0.64305388173509626</c:v>
                </c:pt>
                <c:pt idx="8">
                  <c:v>-1.0253270157134411</c:v>
                </c:pt>
                <c:pt idx="9">
                  <c:v>-0.64305388173509614</c:v>
                </c:pt>
                <c:pt idx="10">
                  <c:v>-1.0253270157134415</c:v>
                </c:pt>
                <c:pt idx="11">
                  <c:v>-1.0253270157134413</c:v>
                </c:pt>
                <c:pt idx="12">
                  <c:v>0.29543175808646588</c:v>
                </c:pt>
                <c:pt idx="13">
                  <c:v>-1.0253270157134409</c:v>
                </c:pt>
                <c:pt idx="14">
                  <c:v>1.2339173979080276</c:v>
                </c:pt>
                <c:pt idx="15">
                  <c:v>-1.7396788520721882E-2</c:v>
                </c:pt>
                <c:pt idx="16">
                  <c:v>-1.0253270157134415</c:v>
                </c:pt>
                <c:pt idx="17">
                  <c:v>-1.0253270157134415</c:v>
                </c:pt>
                <c:pt idx="18">
                  <c:v>-0.64305388173509659</c:v>
                </c:pt>
                <c:pt idx="19">
                  <c:v>1.2339173979080276</c:v>
                </c:pt>
                <c:pt idx="20">
                  <c:v>1.2339173979080278</c:v>
                </c:pt>
                <c:pt idx="21">
                  <c:v>-0.64305388173509648</c:v>
                </c:pt>
                <c:pt idx="22">
                  <c:v>-0.57505251593196849</c:v>
                </c:pt>
                <c:pt idx="23">
                  <c:v>1.1034336690491244</c:v>
                </c:pt>
                <c:pt idx="24">
                  <c:v>-0.91690120654916085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9-1C45-48FB-9E47-5D6AAEEF8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9940288"/>
        <c:axId val="711873952"/>
      </c:scatterChart>
      <c:valAx>
        <c:axId val="194994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11873952"/>
        <c:crosses val="autoZero"/>
        <c:crossBetween val="midCat"/>
      </c:valAx>
      <c:valAx>
        <c:axId val="711873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949940288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Base de datos pacientes Lavergne y Petrovic.xlsx]Tablas!TablaDinámica4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200"/>
              <a:t>DISTRIBUCIÓN DE LOS NIÑOS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ctr"/>
          <c:showLegendKey val="0"/>
          <c:showVal val="1"/>
          <c:showCatName val="0"/>
          <c:showSerName val="0"/>
          <c:showPercent val="1"/>
          <c:showBubbleSize val="0"/>
          <c:separator>
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Tablas!$E$2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024-4252-96D1-854D19B454F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024-4252-96D1-854D19B454FD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24-4252-96D1-854D19B454FD}"/>
                </c:ext>
              </c:extLst>
            </c:dLbl>
            <c:dLbl>
              <c:idx val="1"/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4-4252-96D1-854D19B454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Tablas!$D$3:$D$5</c:f>
              <c:strCache>
                <c:ptCount val="2"/>
                <c:pt idx="0">
                  <c:v>F</c:v>
                </c:pt>
                <c:pt idx="1">
                  <c:v>M</c:v>
                </c:pt>
              </c:strCache>
            </c:strRef>
          </c:cat>
          <c:val>
            <c:numRef>
              <c:f>Tablas!$E$3:$E$5</c:f>
              <c:numCache>
                <c:formatCode>General</c:formatCode>
                <c:ptCount val="2"/>
                <c:pt idx="0">
                  <c:v>40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24-4252-96D1-854D19B454F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Base de datos pacientes Lavergne y Petrovic.xlsx]Tablas!TablaDinámica6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EDAD Y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Tablas!$H$2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Tablas!$G$3:$G$12</c:f>
              <c:strCache>
                <c:ptCount val="9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strCache>
            </c:strRef>
          </c:cat>
          <c:val>
            <c:numRef>
              <c:f>Tablas!$H$3:$H$12</c:f>
              <c:numCache>
                <c:formatCode>General</c:formatCode>
                <c:ptCount val="9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12</c:v>
                </c:pt>
                <c:pt idx="4">
                  <c:v>4</c:v>
                </c:pt>
                <c:pt idx="5">
                  <c:v>6</c:v>
                </c:pt>
                <c:pt idx="6">
                  <c:v>10</c:v>
                </c:pt>
                <c:pt idx="7">
                  <c:v>7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A-4143-AFCC-071D19C44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834527"/>
        <c:axId val="105835967"/>
      </c:barChart>
      <c:catAx>
        <c:axId val="1058345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aseline="0"/>
                  <a:t>GÉNERO - EDAD - CANTIDAD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5835967"/>
        <c:crosses val="autoZero"/>
        <c:auto val="1"/>
        <c:lblAlgn val="ctr"/>
        <c:lblOffset val="100"/>
        <c:noMultiLvlLbl val="0"/>
      </c:catAx>
      <c:valAx>
        <c:axId val="1058359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CANTIDAD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583452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Base de datos pacientes Lavergne y Petrovic.xlsx]Tablas!TablaDinámica6</c:name>
    <c:fmtId val="1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EDAD Y GÉNERO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ivotFmts>
      <c:pivotFmt>
        <c:idx val="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2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3"/>
        <c:spPr>
          <a:solidFill>
            <a:schemeClr val="accent3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4"/>
        <c:spPr>
          <a:solidFill>
            <a:schemeClr val="accent4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5"/>
        <c:spPr>
          <a:solidFill>
            <a:schemeClr val="accent5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6"/>
        <c:spPr>
          <a:solidFill>
            <a:schemeClr val="accent6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7"/>
        <c:spPr>
          <a:solidFill>
            <a:schemeClr val="accent1">
              <a:lumMod val="60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8"/>
        <c:spPr>
          <a:solidFill>
            <a:schemeClr val="accent2">
              <a:lumMod val="60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9"/>
        <c:spPr>
          <a:solidFill>
            <a:schemeClr val="accent3">
              <a:lumMod val="60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</c:pivotFmts>
    <c:plotArea>
      <c:layout/>
      <c:pieChart>
        <c:varyColors val="1"/>
        <c:ser>
          <c:idx val="0"/>
          <c:order val="0"/>
          <c:tx>
            <c:strRef>
              <c:f>Tablas!$H$2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B3F-487F-83C2-A5B3DFF4CA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B3F-487F-83C2-A5B3DFF4CA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B3F-487F-83C2-A5B3DFF4CA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B3F-487F-83C2-A5B3DFF4CA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B3F-487F-83C2-A5B3DFF4CA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B3F-487F-83C2-A5B3DFF4CA1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6B3F-487F-83C2-A5B3DFF4CA1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B3F-487F-83C2-A5B3DFF4CA1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B3F-487F-83C2-A5B3DFF4CA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Tablas!$G$3:$G$12</c:f>
              <c:strCache>
                <c:ptCount val="9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</c:strCache>
            </c:strRef>
          </c:cat>
          <c:val>
            <c:numRef>
              <c:f>Tablas!$H$3:$H$12</c:f>
              <c:numCache>
                <c:formatCode>General</c:formatCode>
                <c:ptCount val="9"/>
                <c:pt idx="0">
                  <c:v>4</c:v>
                </c:pt>
                <c:pt idx="1">
                  <c:v>3</c:v>
                </c:pt>
                <c:pt idx="2">
                  <c:v>3</c:v>
                </c:pt>
                <c:pt idx="3">
                  <c:v>12</c:v>
                </c:pt>
                <c:pt idx="4">
                  <c:v>4</c:v>
                </c:pt>
                <c:pt idx="5">
                  <c:v>6</c:v>
                </c:pt>
                <c:pt idx="6">
                  <c:v>10</c:v>
                </c:pt>
                <c:pt idx="7">
                  <c:v>7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3F-487F-83C2-A5B3DFF4CA1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Base de datos pacientes Lavergne y Petrovic.xlsx]Tablas!TablaDinámica11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Tablas!$Z$3:$Z$4</c:f>
              <c:strCache>
                <c:ptCount val="1"/>
                <c:pt idx="0">
                  <c:v>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Tablas!$Y$5:$Y$17</c:f>
              <c:strCache>
                <c:ptCount val="12"/>
                <c:pt idx="0">
                  <c:v>A1DDB</c:v>
                </c:pt>
                <c:pt idx="1">
                  <c:v>A1DN</c:v>
                </c:pt>
                <c:pt idx="2">
                  <c:v>A1NN</c:v>
                </c:pt>
                <c:pt idx="3">
                  <c:v>A1NOB</c:v>
                </c:pt>
                <c:pt idx="4">
                  <c:v>P1MOB</c:v>
                </c:pt>
                <c:pt idx="5">
                  <c:v>P1NDB</c:v>
                </c:pt>
                <c:pt idx="6">
                  <c:v>P1NOB</c:v>
                </c:pt>
                <c:pt idx="7">
                  <c:v>P2DN</c:v>
                </c:pt>
                <c:pt idx="8">
                  <c:v>R1NDB</c:v>
                </c:pt>
                <c:pt idx="9">
                  <c:v>R1NN</c:v>
                </c:pt>
                <c:pt idx="10">
                  <c:v>R1NOB</c:v>
                </c:pt>
                <c:pt idx="11">
                  <c:v>R2DN</c:v>
                </c:pt>
              </c:strCache>
            </c:strRef>
          </c:cat>
          <c:val>
            <c:numRef>
              <c:f>Tablas!$Z$5:$Z$17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9F-4A22-954D-F5530CA56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324559"/>
        <c:axId val="158327919"/>
      </c:barChart>
      <c:catAx>
        <c:axId val="1583245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TIPO</a:t>
                </a:r>
                <a:r>
                  <a:rPr lang="es-CO" baseline="0"/>
                  <a:t> ROTACIONAL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327919"/>
        <c:crosses val="autoZero"/>
        <c:auto val="1"/>
        <c:lblAlgn val="ctr"/>
        <c:lblOffset val="100"/>
        <c:noMultiLvlLbl val="0"/>
      </c:catAx>
      <c:valAx>
        <c:axId val="15832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CANTIDAD</a:t>
                </a:r>
                <a:r>
                  <a:rPr lang="es-CO" baseline="0"/>
                  <a:t> DE PACIENTES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32455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Base de datos pacientes Lavergne y Petrovic.xlsx]Tablas!TablaDinámica11</c:name>
    <c:fmtId val="2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3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4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5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1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2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  <c:pivotFmt>
        <c:idx val="2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</c:pivotFmt>
    </c:pivotFmts>
    <c:plotArea>
      <c:layout/>
      <c:pieChart>
        <c:varyColors val="1"/>
        <c:ser>
          <c:idx val="0"/>
          <c:order val="0"/>
          <c:tx>
            <c:strRef>
              <c:f>Tablas!$Z$3:$Z$4</c:f>
              <c:strCache>
                <c:ptCount val="1"/>
                <c:pt idx="0">
                  <c:v>M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69-4F23-83C5-6EBD30DB081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69-4F23-83C5-6EBD30DB081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169-4F23-83C5-6EBD30DB081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169-4F23-83C5-6EBD30DB081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169-4F23-83C5-6EBD30DB081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169-4F23-83C5-6EBD30DB081C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169-4F23-83C5-6EBD30DB081C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169-4F23-83C5-6EBD30DB081C}"/>
              </c:ext>
            </c:extLst>
          </c:dPt>
          <c:dPt>
            <c:idx val="8"/>
            <c:bubble3D val="0"/>
            <c:spPr>
              <a:gradFill rotWithShape="1">
                <a:gsLst>
                  <a:gs pos="0">
                    <a:schemeClr val="accent3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169-4F23-83C5-6EBD30DB081C}"/>
              </c:ext>
            </c:extLst>
          </c:dPt>
          <c:dPt>
            <c:idx val="9"/>
            <c:bubble3D val="0"/>
            <c:spPr>
              <a:gradFill rotWithShape="1">
                <a:gsLst>
                  <a:gs pos="0">
                    <a:schemeClr val="accent4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D169-4F23-83C5-6EBD30DB081C}"/>
              </c:ext>
            </c:extLst>
          </c:dPt>
          <c:dPt>
            <c:idx val="10"/>
            <c:bubble3D val="0"/>
            <c:spPr>
              <a:gradFill rotWithShape="1">
                <a:gsLst>
                  <a:gs pos="0">
                    <a:schemeClr val="accent5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D169-4F23-83C5-6EBD30DB081C}"/>
              </c:ext>
            </c:extLst>
          </c:dPt>
          <c:dPt>
            <c:idx val="11"/>
            <c:bubble3D val="0"/>
            <c:spPr>
              <a:gradFill rotWithShape="1">
                <a:gsLst>
                  <a:gs pos="0">
                    <a:schemeClr val="accent6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D169-4F23-83C5-6EBD30DB08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Tablas!$Y$5:$Y$17</c:f>
              <c:strCache>
                <c:ptCount val="12"/>
                <c:pt idx="0">
                  <c:v>A1DDB</c:v>
                </c:pt>
                <c:pt idx="1">
                  <c:v>A1DN</c:v>
                </c:pt>
                <c:pt idx="2">
                  <c:v>A1NN</c:v>
                </c:pt>
                <c:pt idx="3">
                  <c:v>A1NOB</c:v>
                </c:pt>
                <c:pt idx="4">
                  <c:v>P1MOB</c:v>
                </c:pt>
                <c:pt idx="5">
                  <c:v>P1NDB</c:v>
                </c:pt>
                <c:pt idx="6">
                  <c:v>P1NOB</c:v>
                </c:pt>
                <c:pt idx="7">
                  <c:v>P2DN</c:v>
                </c:pt>
                <c:pt idx="8">
                  <c:v>R1NDB</c:v>
                </c:pt>
                <c:pt idx="9">
                  <c:v>R1NN</c:v>
                </c:pt>
                <c:pt idx="10">
                  <c:v>R1NOB</c:v>
                </c:pt>
                <c:pt idx="11">
                  <c:v>R2DN</c:v>
                </c:pt>
              </c:strCache>
            </c:strRef>
          </c:cat>
          <c:val>
            <c:numRef>
              <c:f>Tablas!$Z$5:$Z$17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55-46DC-9E27-E6F8DAA3A1A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Base de datos pacientes Lavergne y Petrovic.xlsx]Tablas!TablaDinámica11</c:name>
    <c:fmtId val="2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MASCULINO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  <c:marker>
          <c:spPr>
            <a:solidFill>
              <a:schemeClr val="accent1"/>
            </a:solidFill>
            <a:ln w="9525">
              <a:solidFill>
                <a:schemeClr val="lt1"/>
              </a:solidFill>
            </a:ln>
            <a:effectLst/>
          </c:spPr>
        </c:marker>
        <c:dLbl>
          <c:idx val="0"/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3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4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6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7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8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9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10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11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12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13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</c:pivotFmts>
    <c:plotArea>
      <c:layout/>
      <c:pieChart>
        <c:varyColors val="1"/>
        <c:ser>
          <c:idx val="0"/>
          <c:order val="0"/>
          <c:tx>
            <c:strRef>
              <c:f>Tablas!$Z$3:$Z$4</c:f>
              <c:strCache>
                <c:ptCount val="1"/>
                <c:pt idx="0">
                  <c:v>M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E81-4DAB-A815-B46942F2C61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E81-4DAB-A815-B46942F2C61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E81-4DAB-A815-B46942F2C61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E81-4DAB-A815-B46942F2C61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E81-4DAB-A815-B46942F2C61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E81-4DAB-A815-B46942F2C61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E81-4DAB-A815-B46942F2C61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E81-4DAB-A815-B46942F2C61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E81-4DAB-A815-B46942F2C61F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0E81-4DAB-A815-B46942F2C61F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0E81-4DAB-A815-B46942F2C61F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0E81-4DAB-A815-B46942F2C6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Tablas!$Y$5:$Y$17</c:f>
              <c:strCache>
                <c:ptCount val="12"/>
                <c:pt idx="0">
                  <c:v>A1DDB</c:v>
                </c:pt>
                <c:pt idx="1">
                  <c:v>A1DN</c:v>
                </c:pt>
                <c:pt idx="2">
                  <c:v>A1NN</c:v>
                </c:pt>
                <c:pt idx="3">
                  <c:v>A1NOB</c:v>
                </c:pt>
                <c:pt idx="4">
                  <c:v>P1MOB</c:v>
                </c:pt>
                <c:pt idx="5">
                  <c:v>P1NDB</c:v>
                </c:pt>
                <c:pt idx="6">
                  <c:v>P1NOB</c:v>
                </c:pt>
                <c:pt idx="7">
                  <c:v>P2DN</c:v>
                </c:pt>
                <c:pt idx="8">
                  <c:v>R1NDB</c:v>
                </c:pt>
                <c:pt idx="9">
                  <c:v>R1NN</c:v>
                </c:pt>
                <c:pt idx="10">
                  <c:v>R1NOB</c:v>
                </c:pt>
                <c:pt idx="11">
                  <c:v>R2DN</c:v>
                </c:pt>
              </c:strCache>
            </c:strRef>
          </c:cat>
          <c:val>
            <c:numRef>
              <c:f>Tablas!$Z$5:$Z$17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6-4E15-8624-C46D6FAEC61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266700</xdr:colOff>
      <xdr:row>29</xdr:row>
      <xdr:rowOff>129048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87A64AD-B7E8-6CAB-CEF1-30AB7258A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6700" cy="56535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0</xdr:row>
      <xdr:rowOff>0</xdr:rowOff>
    </xdr:from>
    <xdr:to>
      <xdr:col>13</xdr:col>
      <xdr:colOff>410282</xdr:colOff>
      <xdr:row>26</xdr:row>
      <xdr:rowOff>67366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D7056AB5-3733-1E52-D5FF-A8D11EF34FC8}"/>
            </a:ext>
          </a:extLst>
        </xdr:cNvPr>
        <xdr:cNvGrpSpPr/>
      </xdr:nvGrpSpPr>
      <xdr:grpSpPr>
        <a:xfrm>
          <a:off x="9330418" y="0"/>
          <a:ext cx="5068007" cy="5020366"/>
          <a:chOff x="4391025" y="0"/>
          <a:chExt cx="5068007" cy="5020366"/>
        </a:xfrm>
      </xdr:grpSpPr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C420478B-78B7-3CC7-2B47-BDB4774ECFC6}"/>
              </a:ext>
            </a:extLst>
          </xdr:cNvPr>
          <xdr:cNvGrpSpPr/>
        </xdr:nvGrpSpPr>
        <xdr:grpSpPr>
          <a:xfrm>
            <a:off x="4391025" y="0"/>
            <a:ext cx="5068007" cy="5020366"/>
            <a:chOff x="4610100" y="266700"/>
            <a:chExt cx="5068007" cy="5020366"/>
          </a:xfrm>
        </xdr:grpSpPr>
        <xdr:pic>
          <xdr:nvPicPr>
            <xdr:cNvPr id="2" name="Imagen 1">
              <a:extLst>
                <a:ext uri="{FF2B5EF4-FFF2-40B4-BE49-F238E27FC236}">
                  <a16:creationId xmlns:a16="http://schemas.microsoft.com/office/drawing/2014/main" id="{06F119FF-8319-4968-A6F4-F2D3F55B657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4610100" y="333375"/>
              <a:ext cx="5068007" cy="4953691"/>
            </a:xfrm>
            <a:prstGeom prst="rect">
              <a:avLst/>
            </a:prstGeom>
          </xdr:spPr>
        </xdr:pic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D7DAC7F1-42B4-3F2C-DB4A-F2D78E9B2A72}"/>
                </a:ext>
              </a:extLst>
            </xdr:cNvPr>
            <xdr:cNvSpPr txBox="1"/>
          </xdr:nvSpPr>
          <xdr:spPr>
            <a:xfrm>
              <a:off x="6124575" y="266700"/>
              <a:ext cx="2348400" cy="31149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CO" sz="1400" b="1"/>
                <a:t>K-MEANS CLUSTER ANALYSIS</a:t>
              </a:r>
            </a:p>
          </xdr:txBody>
        </xdr:sp>
      </xdr:grpSp>
      <xdr:sp macro="" textlink="">
        <xdr:nvSpPr>
          <xdr:cNvPr id="6" name="Elipse 5">
            <a:extLst>
              <a:ext uri="{FF2B5EF4-FFF2-40B4-BE49-F238E27FC236}">
                <a16:creationId xmlns:a16="http://schemas.microsoft.com/office/drawing/2014/main" id="{6717F395-80CA-F37F-8B18-33884427B87F}"/>
              </a:ext>
            </a:extLst>
          </xdr:cNvPr>
          <xdr:cNvSpPr/>
        </xdr:nvSpPr>
        <xdr:spPr>
          <a:xfrm>
            <a:off x="5143501" y="771525"/>
            <a:ext cx="1619250" cy="2762250"/>
          </a:xfrm>
          <a:prstGeom prst="ellipse">
            <a:avLst/>
          </a:prstGeom>
          <a:noFill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7" name="Forma libre: forma 6">
            <a:extLst>
              <a:ext uri="{FF2B5EF4-FFF2-40B4-BE49-F238E27FC236}">
                <a16:creationId xmlns:a16="http://schemas.microsoft.com/office/drawing/2014/main" id="{732AF518-83B2-0E5F-74E3-DA24A284ED65}"/>
              </a:ext>
            </a:extLst>
          </xdr:cNvPr>
          <xdr:cNvSpPr/>
        </xdr:nvSpPr>
        <xdr:spPr>
          <a:xfrm>
            <a:off x="7496175" y="876300"/>
            <a:ext cx="1213383" cy="2747160"/>
          </a:xfrm>
          <a:custGeom>
            <a:avLst/>
            <a:gdLst>
              <a:gd name="connsiteX0" fmla="*/ 228600 w 1213383"/>
              <a:gd name="connsiteY0" fmla="*/ 76200 h 2747160"/>
              <a:gd name="connsiteX1" fmla="*/ 238125 w 1213383"/>
              <a:gd name="connsiteY1" fmla="*/ 123825 h 2747160"/>
              <a:gd name="connsiteX2" fmla="*/ 228600 w 1213383"/>
              <a:gd name="connsiteY2" fmla="*/ 180975 h 2747160"/>
              <a:gd name="connsiteX3" fmla="*/ 209550 w 1213383"/>
              <a:gd name="connsiteY3" fmla="*/ 304800 h 2747160"/>
              <a:gd name="connsiteX4" fmla="*/ 171450 w 1213383"/>
              <a:gd name="connsiteY4" fmla="*/ 590550 h 2747160"/>
              <a:gd name="connsiteX5" fmla="*/ 152400 w 1213383"/>
              <a:gd name="connsiteY5" fmla="*/ 619125 h 2747160"/>
              <a:gd name="connsiteX6" fmla="*/ 123825 w 1213383"/>
              <a:gd name="connsiteY6" fmla="*/ 752475 h 2747160"/>
              <a:gd name="connsiteX7" fmla="*/ 114300 w 1213383"/>
              <a:gd name="connsiteY7" fmla="*/ 895350 h 2747160"/>
              <a:gd name="connsiteX8" fmla="*/ 66675 w 1213383"/>
              <a:gd name="connsiteY8" fmla="*/ 971550 h 2747160"/>
              <a:gd name="connsiteX9" fmla="*/ 0 w 1213383"/>
              <a:gd name="connsiteY9" fmla="*/ 1095375 h 2747160"/>
              <a:gd name="connsiteX10" fmla="*/ 9525 w 1213383"/>
              <a:gd name="connsiteY10" fmla="*/ 1323975 h 2747160"/>
              <a:gd name="connsiteX11" fmla="*/ 38100 w 1213383"/>
              <a:gd name="connsiteY11" fmla="*/ 1419225 h 2747160"/>
              <a:gd name="connsiteX12" fmla="*/ 66675 w 1213383"/>
              <a:gd name="connsiteY12" fmla="*/ 1495425 h 2747160"/>
              <a:gd name="connsiteX13" fmla="*/ 85725 w 1213383"/>
              <a:gd name="connsiteY13" fmla="*/ 1552575 h 2747160"/>
              <a:gd name="connsiteX14" fmla="*/ 114300 w 1213383"/>
              <a:gd name="connsiteY14" fmla="*/ 1628775 h 2747160"/>
              <a:gd name="connsiteX15" fmla="*/ 142875 w 1213383"/>
              <a:gd name="connsiteY15" fmla="*/ 1857375 h 2747160"/>
              <a:gd name="connsiteX16" fmla="*/ 161925 w 1213383"/>
              <a:gd name="connsiteY16" fmla="*/ 1885950 h 2747160"/>
              <a:gd name="connsiteX17" fmla="*/ 133350 w 1213383"/>
              <a:gd name="connsiteY17" fmla="*/ 1990725 h 2747160"/>
              <a:gd name="connsiteX18" fmla="*/ 104775 w 1213383"/>
              <a:gd name="connsiteY18" fmla="*/ 2009775 h 2747160"/>
              <a:gd name="connsiteX19" fmla="*/ 95250 w 1213383"/>
              <a:gd name="connsiteY19" fmla="*/ 2057400 h 2747160"/>
              <a:gd name="connsiteX20" fmla="*/ 133350 w 1213383"/>
              <a:gd name="connsiteY20" fmla="*/ 2228850 h 2747160"/>
              <a:gd name="connsiteX21" fmla="*/ 161925 w 1213383"/>
              <a:gd name="connsiteY21" fmla="*/ 2352675 h 2747160"/>
              <a:gd name="connsiteX22" fmla="*/ 171450 w 1213383"/>
              <a:gd name="connsiteY22" fmla="*/ 2409825 h 2747160"/>
              <a:gd name="connsiteX23" fmla="*/ 228600 w 1213383"/>
              <a:gd name="connsiteY23" fmla="*/ 2524125 h 2747160"/>
              <a:gd name="connsiteX24" fmla="*/ 285750 w 1213383"/>
              <a:gd name="connsiteY24" fmla="*/ 2600325 h 2747160"/>
              <a:gd name="connsiteX25" fmla="*/ 352425 w 1213383"/>
              <a:gd name="connsiteY25" fmla="*/ 2647950 h 2747160"/>
              <a:gd name="connsiteX26" fmla="*/ 400050 w 1213383"/>
              <a:gd name="connsiteY26" fmla="*/ 2686050 h 2747160"/>
              <a:gd name="connsiteX27" fmla="*/ 476250 w 1213383"/>
              <a:gd name="connsiteY27" fmla="*/ 2714625 h 2747160"/>
              <a:gd name="connsiteX28" fmla="*/ 628650 w 1213383"/>
              <a:gd name="connsiteY28" fmla="*/ 2743200 h 2747160"/>
              <a:gd name="connsiteX29" fmla="*/ 1200150 w 1213383"/>
              <a:gd name="connsiteY29" fmla="*/ 2724150 h 2747160"/>
              <a:gd name="connsiteX30" fmla="*/ 1181100 w 1213383"/>
              <a:gd name="connsiteY30" fmla="*/ 2619375 h 2747160"/>
              <a:gd name="connsiteX31" fmla="*/ 1152525 w 1213383"/>
              <a:gd name="connsiteY31" fmla="*/ 2571750 h 2747160"/>
              <a:gd name="connsiteX32" fmla="*/ 1133475 w 1213383"/>
              <a:gd name="connsiteY32" fmla="*/ 2524125 h 2747160"/>
              <a:gd name="connsiteX33" fmla="*/ 1123950 w 1213383"/>
              <a:gd name="connsiteY33" fmla="*/ 2476500 h 2747160"/>
              <a:gd name="connsiteX34" fmla="*/ 1095375 w 1213383"/>
              <a:gd name="connsiteY34" fmla="*/ 2381250 h 2747160"/>
              <a:gd name="connsiteX35" fmla="*/ 1085850 w 1213383"/>
              <a:gd name="connsiteY35" fmla="*/ 2305050 h 2747160"/>
              <a:gd name="connsiteX36" fmla="*/ 1104900 w 1213383"/>
              <a:gd name="connsiteY36" fmla="*/ 895350 h 2747160"/>
              <a:gd name="connsiteX37" fmla="*/ 1123950 w 1213383"/>
              <a:gd name="connsiteY37" fmla="*/ 523875 h 2747160"/>
              <a:gd name="connsiteX38" fmla="*/ 1114425 w 1213383"/>
              <a:gd name="connsiteY38" fmla="*/ 247650 h 2747160"/>
              <a:gd name="connsiteX39" fmla="*/ 1047750 w 1213383"/>
              <a:gd name="connsiteY39" fmla="*/ 171450 h 2747160"/>
              <a:gd name="connsiteX40" fmla="*/ 933450 w 1213383"/>
              <a:gd name="connsiteY40" fmla="*/ 66675 h 2747160"/>
              <a:gd name="connsiteX41" fmla="*/ 885825 w 1213383"/>
              <a:gd name="connsiteY41" fmla="*/ 38100 h 2747160"/>
              <a:gd name="connsiteX42" fmla="*/ 609600 w 1213383"/>
              <a:gd name="connsiteY42" fmla="*/ 0 h 2747160"/>
              <a:gd name="connsiteX43" fmla="*/ 476250 w 1213383"/>
              <a:gd name="connsiteY43" fmla="*/ 9525 h 2747160"/>
              <a:gd name="connsiteX44" fmla="*/ 295275 w 1213383"/>
              <a:gd name="connsiteY44" fmla="*/ 66675 h 2747160"/>
              <a:gd name="connsiteX45" fmla="*/ 238125 w 1213383"/>
              <a:gd name="connsiteY45" fmla="*/ 133350 h 27471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</a:cxnLst>
            <a:rect l="l" t="t" r="r" b="b"/>
            <a:pathLst>
              <a:path w="1213383" h="2747160">
                <a:moveTo>
                  <a:pt x="228600" y="76200"/>
                </a:moveTo>
                <a:cubicBezTo>
                  <a:pt x="231775" y="92075"/>
                  <a:pt x="238125" y="107636"/>
                  <a:pt x="238125" y="123825"/>
                </a:cubicBezTo>
                <a:cubicBezTo>
                  <a:pt x="238125" y="143138"/>
                  <a:pt x="231331" y="161856"/>
                  <a:pt x="228600" y="180975"/>
                </a:cubicBezTo>
                <a:cubicBezTo>
                  <a:pt x="211300" y="302072"/>
                  <a:pt x="227742" y="213839"/>
                  <a:pt x="209550" y="304800"/>
                </a:cubicBezTo>
                <a:cubicBezTo>
                  <a:pt x="201160" y="506150"/>
                  <a:pt x="233568" y="478738"/>
                  <a:pt x="171450" y="590550"/>
                </a:cubicBezTo>
                <a:cubicBezTo>
                  <a:pt x="165891" y="600557"/>
                  <a:pt x="158750" y="609600"/>
                  <a:pt x="152400" y="619125"/>
                </a:cubicBezTo>
                <a:cubicBezTo>
                  <a:pt x="141645" y="662144"/>
                  <a:pt x="128080" y="707796"/>
                  <a:pt x="123825" y="752475"/>
                </a:cubicBezTo>
                <a:cubicBezTo>
                  <a:pt x="119300" y="799991"/>
                  <a:pt x="126348" y="849165"/>
                  <a:pt x="114300" y="895350"/>
                </a:cubicBezTo>
                <a:cubicBezTo>
                  <a:pt x="106739" y="924333"/>
                  <a:pt x="81221" y="945366"/>
                  <a:pt x="66675" y="971550"/>
                </a:cubicBezTo>
                <a:cubicBezTo>
                  <a:pt x="-21233" y="1129784"/>
                  <a:pt x="50080" y="1020255"/>
                  <a:pt x="0" y="1095375"/>
                </a:cubicBezTo>
                <a:cubicBezTo>
                  <a:pt x="3175" y="1171575"/>
                  <a:pt x="4091" y="1247903"/>
                  <a:pt x="9525" y="1323975"/>
                </a:cubicBezTo>
                <a:cubicBezTo>
                  <a:pt x="11037" y="1345140"/>
                  <a:pt x="34673" y="1405515"/>
                  <a:pt x="38100" y="1419225"/>
                </a:cubicBezTo>
                <a:cubicBezTo>
                  <a:pt x="58722" y="1501714"/>
                  <a:pt x="33469" y="1412410"/>
                  <a:pt x="66675" y="1495425"/>
                </a:cubicBezTo>
                <a:cubicBezTo>
                  <a:pt x="74133" y="1514069"/>
                  <a:pt x="78267" y="1533931"/>
                  <a:pt x="85725" y="1552575"/>
                </a:cubicBezTo>
                <a:cubicBezTo>
                  <a:pt x="118931" y="1635590"/>
                  <a:pt x="93678" y="1546286"/>
                  <a:pt x="114300" y="1628775"/>
                </a:cubicBezTo>
                <a:cubicBezTo>
                  <a:pt x="114935" y="1638937"/>
                  <a:pt x="116893" y="1818402"/>
                  <a:pt x="142875" y="1857375"/>
                </a:cubicBezTo>
                <a:lnTo>
                  <a:pt x="161925" y="1885950"/>
                </a:lnTo>
                <a:cubicBezTo>
                  <a:pt x="152400" y="1920875"/>
                  <a:pt x="148520" y="1957856"/>
                  <a:pt x="133350" y="1990725"/>
                </a:cubicBezTo>
                <a:cubicBezTo>
                  <a:pt x="128553" y="2001119"/>
                  <a:pt x="110455" y="1999836"/>
                  <a:pt x="104775" y="2009775"/>
                </a:cubicBezTo>
                <a:cubicBezTo>
                  <a:pt x="96743" y="2023831"/>
                  <a:pt x="98425" y="2041525"/>
                  <a:pt x="95250" y="2057400"/>
                </a:cubicBezTo>
                <a:cubicBezTo>
                  <a:pt x="107950" y="2114550"/>
                  <a:pt x="126088" y="2170758"/>
                  <a:pt x="133350" y="2228850"/>
                </a:cubicBezTo>
                <a:cubicBezTo>
                  <a:pt x="144996" y="2322016"/>
                  <a:pt x="133368" y="2281283"/>
                  <a:pt x="161925" y="2352675"/>
                </a:cubicBezTo>
                <a:cubicBezTo>
                  <a:pt x="165100" y="2371725"/>
                  <a:pt x="165770" y="2391366"/>
                  <a:pt x="171450" y="2409825"/>
                </a:cubicBezTo>
                <a:cubicBezTo>
                  <a:pt x="182515" y="2445785"/>
                  <a:pt x="206575" y="2492311"/>
                  <a:pt x="228600" y="2524125"/>
                </a:cubicBezTo>
                <a:cubicBezTo>
                  <a:pt x="246672" y="2550230"/>
                  <a:pt x="263299" y="2577874"/>
                  <a:pt x="285750" y="2600325"/>
                </a:cubicBezTo>
                <a:cubicBezTo>
                  <a:pt x="305063" y="2619638"/>
                  <a:pt x="330575" y="2631563"/>
                  <a:pt x="352425" y="2647950"/>
                </a:cubicBezTo>
                <a:cubicBezTo>
                  <a:pt x="368689" y="2660148"/>
                  <a:pt x="382150" y="2676412"/>
                  <a:pt x="400050" y="2686050"/>
                </a:cubicBezTo>
                <a:cubicBezTo>
                  <a:pt x="423935" y="2698911"/>
                  <a:pt x="449933" y="2708046"/>
                  <a:pt x="476250" y="2714625"/>
                </a:cubicBezTo>
                <a:cubicBezTo>
                  <a:pt x="526392" y="2727161"/>
                  <a:pt x="628650" y="2743200"/>
                  <a:pt x="628650" y="2743200"/>
                </a:cubicBezTo>
                <a:cubicBezTo>
                  <a:pt x="819150" y="2736850"/>
                  <a:pt x="1014159" y="2765838"/>
                  <a:pt x="1200150" y="2724150"/>
                </a:cubicBezTo>
                <a:cubicBezTo>
                  <a:pt x="1234788" y="2716386"/>
                  <a:pt x="1191688" y="2653257"/>
                  <a:pt x="1181100" y="2619375"/>
                </a:cubicBezTo>
                <a:cubicBezTo>
                  <a:pt x="1175578" y="2601704"/>
                  <a:pt x="1160804" y="2588309"/>
                  <a:pt x="1152525" y="2571750"/>
                </a:cubicBezTo>
                <a:cubicBezTo>
                  <a:pt x="1144879" y="2556457"/>
                  <a:pt x="1138388" y="2540502"/>
                  <a:pt x="1133475" y="2524125"/>
                </a:cubicBezTo>
                <a:cubicBezTo>
                  <a:pt x="1128823" y="2508618"/>
                  <a:pt x="1128121" y="2492143"/>
                  <a:pt x="1123950" y="2476500"/>
                </a:cubicBezTo>
                <a:cubicBezTo>
                  <a:pt x="1115409" y="2444471"/>
                  <a:pt x="1104900" y="2413000"/>
                  <a:pt x="1095375" y="2381250"/>
                </a:cubicBezTo>
                <a:cubicBezTo>
                  <a:pt x="1092200" y="2355850"/>
                  <a:pt x="1085850" y="2330648"/>
                  <a:pt x="1085850" y="2305050"/>
                </a:cubicBezTo>
                <a:cubicBezTo>
                  <a:pt x="1085850" y="1039911"/>
                  <a:pt x="1047272" y="1414006"/>
                  <a:pt x="1104900" y="895350"/>
                </a:cubicBezTo>
                <a:cubicBezTo>
                  <a:pt x="1111250" y="771525"/>
                  <a:pt x="1115321" y="647562"/>
                  <a:pt x="1123950" y="523875"/>
                </a:cubicBezTo>
                <a:cubicBezTo>
                  <a:pt x="1134612" y="371058"/>
                  <a:pt x="1245080" y="726719"/>
                  <a:pt x="1114425" y="247650"/>
                </a:cubicBezTo>
                <a:cubicBezTo>
                  <a:pt x="1105545" y="215089"/>
                  <a:pt x="1070834" y="196072"/>
                  <a:pt x="1047750" y="171450"/>
                </a:cubicBezTo>
                <a:cubicBezTo>
                  <a:pt x="1006403" y="127346"/>
                  <a:pt x="979923" y="97657"/>
                  <a:pt x="933450" y="66675"/>
                </a:cubicBezTo>
                <a:cubicBezTo>
                  <a:pt x="918046" y="56406"/>
                  <a:pt x="903686" y="42971"/>
                  <a:pt x="885825" y="38100"/>
                </a:cubicBezTo>
                <a:cubicBezTo>
                  <a:pt x="787681" y="11333"/>
                  <a:pt x="707766" y="8181"/>
                  <a:pt x="609600" y="0"/>
                </a:cubicBezTo>
                <a:cubicBezTo>
                  <a:pt x="565150" y="3175"/>
                  <a:pt x="519843" y="278"/>
                  <a:pt x="476250" y="9525"/>
                </a:cubicBezTo>
                <a:cubicBezTo>
                  <a:pt x="414366" y="22652"/>
                  <a:pt x="295275" y="66675"/>
                  <a:pt x="295275" y="66675"/>
                </a:cubicBezTo>
                <a:cubicBezTo>
                  <a:pt x="242630" y="119320"/>
                  <a:pt x="257690" y="94220"/>
                  <a:pt x="238125" y="133350"/>
                </a:cubicBezTo>
              </a:path>
            </a:pathLst>
          </a:custGeom>
        </xdr:spPr>
        <xdr:style>
          <a:lnRef idx="3">
            <a:schemeClr val="accent2"/>
          </a:lnRef>
          <a:fillRef idx="0">
            <a:schemeClr val="accent2"/>
          </a:fillRef>
          <a:effectRef idx="2">
            <a:schemeClr val="accent2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</xdr:grpSp>
    <xdr:clientData/>
  </xdr:twoCellAnchor>
  <xdr:twoCellAnchor>
    <xdr:from>
      <xdr:col>15</xdr:col>
      <xdr:colOff>0</xdr:colOff>
      <xdr:row>2</xdr:row>
      <xdr:rowOff>0</xdr:rowOff>
    </xdr:from>
    <xdr:to>
      <xdr:col>21</xdr:col>
      <xdr:colOff>0</xdr:colOff>
      <xdr:row>16</xdr:row>
      <xdr:rowOff>76200</xdr:rowOff>
    </xdr:to>
    <xdr:grpSp>
      <xdr:nvGrpSpPr>
        <xdr:cNvPr id="9" name="Grupo 8">
          <a:extLst>
            <a:ext uri="{FF2B5EF4-FFF2-40B4-BE49-F238E27FC236}">
              <a16:creationId xmlns:a16="http://schemas.microsoft.com/office/drawing/2014/main" id="{0F00C74D-2DDB-4D0E-B5B5-5DEC115BDA34}"/>
            </a:ext>
          </a:extLst>
        </xdr:cNvPr>
        <xdr:cNvGrpSpPr/>
      </xdr:nvGrpSpPr>
      <xdr:grpSpPr>
        <a:xfrm>
          <a:off x="15512143" y="381000"/>
          <a:ext cx="4572000" cy="2743200"/>
          <a:chOff x="168983025" y="381000"/>
          <a:chExt cx="4572000" cy="2743200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7D5A2E59-66D7-4BF3-1FCB-3228F0EF5E8C}"/>
              </a:ext>
            </a:extLst>
          </xdr:cNvPr>
          <xdr:cNvGraphicFramePr>
            <a:graphicFrameLocks/>
          </xdr:cNvGraphicFramePr>
        </xdr:nvGraphicFramePr>
        <xdr:xfrm>
          <a:off x="168983025" y="38100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1" name="CuadroTexto 10">
            <a:extLst>
              <a:ext uri="{FF2B5EF4-FFF2-40B4-BE49-F238E27FC236}">
                <a16:creationId xmlns:a16="http://schemas.microsoft.com/office/drawing/2014/main" id="{3B539898-147E-6F6D-59FF-BDC5F836FF31}"/>
              </a:ext>
            </a:extLst>
          </xdr:cNvPr>
          <xdr:cNvSpPr txBox="1"/>
        </xdr:nvSpPr>
        <xdr:spPr>
          <a:xfrm>
            <a:off x="169164000" y="2809875"/>
            <a:ext cx="650243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1100"/>
              <a:t>p=</a:t>
            </a:r>
            <a:r>
              <a:rPr lang="es-CO" sz="1100" b="1">
                <a:solidFill>
                  <a:srgbClr val="FF0000"/>
                </a:solidFill>
              </a:rPr>
              <a:t>0,003</a:t>
            </a:r>
          </a:p>
        </xdr:txBody>
      </xdr:sp>
    </xdr:grp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0.77778</cdr:x>
      <cdr:y>0.16782</cdr:y>
    </cdr:from>
    <cdr:to>
      <cdr:x>0.92</cdr:x>
      <cdr:y>0.26427</cdr:y>
    </cdr:to>
    <cdr:sp macro="" textlink="">
      <cdr:nvSpPr>
        <cdr:cNvPr id="2" name="CuadroTexto 19">
          <a:extLst xmlns:a="http://schemas.openxmlformats.org/drawingml/2006/main">
            <a:ext uri="{FF2B5EF4-FFF2-40B4-BE49-F238E27FC236}">
              <a16:creationId xmlns:a16="http://schemas.microsoft.com/office/drawing/2014/main" id="{1225113D-8BDC-AA1A-196B-5014B35DC8F7}"/>
            </a:ext>
          </a:extLst>
        </cdr:cNvPr>
        <cdr:cNvSpPr txBox="1"/>
      </cdr:nvSpPr>
      <cdr:spPr>
        <a:xfrm xmlns:a="http://schemas.openxmlformats.org/drawingml/2006/main">
          <a:off x="3556000" y="460375"/>
          <a:ext cx="650243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p=</a:t>
          </a:r>
          <a:r>
            <a:rPr lang="es-CO" sz="1100" b="1">
              <a:solidFill>
                <a:srgbClr val="FF0000"/>
              </a:solidFill>
            </a:rPr>
            <a:t>0,000</a:t>
          </a:r>
        </a:p>
      </cdr:txBody>
    </cdr:sp>
  </cdr:relSizeAnchor>
  <cdr:relSizeAnchor xmlns:cdr="http://schemas.openxmlformats.org/drawingml/2006/chartDrawing">
    <cdr:from>
      <cdr:x>0.50069</cdr:x>
      <cdr:y>0.81366</cdr:y>
    </cdr:from>
    <cdr:to>
      <cdr:x>0.64292</cdr:x>
      <cdr:y>0.9101</cdr:y>
    </cdr:to>
    <cdr:sp macro="" textlink="">
      <cdr:nvSpPr>
        <cdr:cNvPr id="3" name="CuadroTexto 19">
          <a:extLst xmlns:a="http://schemas.openxmlformats.org/drawingml/2006/main">
            <a:ext uri="{FF2B5EF4-FFF2-40B4-BE49-F238E27FC236}">
              <a16:creationId xmlns:a16="http://schemas.microsoft.com/office/drawing/2014/main" id="{B4C87088-C745-279C-F0FE-9F72539F509C}"/>
            </a:ext>
          </a:extLst>
        </cdr:cNvPr>
        <cdr:cNvSpPr txBox="1"/>
      </cdr:nvSpPr>
      <cdr:spPr>
        <a:xfrm xmlns:a="http://schemas.openxmlformats.org/drawingml/2006/main">
          <a:off x="2289175" y="2232025"/>
          <a:ext cx="650243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p=</a:t>
          </a:r>
          <a:r>
            <a:rPr lang="es-CO" sz="1100" b="1">
              <a:solidFill>
                <a:srgbClr val="FF0000"/>
              </a:solidFill>
            </a:rPr>
            <a:t>0,000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218</xdr:col>
      <xdr:colOff>0</xdr:colOff>
      <xdr:row>1</xdr:row>
      <xdr:rowOff>0</xdr:rowOff>
    </xdr:from>
    <xdr:to>
      <xdr:col>224</xdr:col>
      <xdr:colOff>0</xdr:colOff>
      <xdr:row>14</xdr:row>
      <xdr:rowOff>171450</xdr:rowOff>
    </xdr:to>
    <xdr:grpSp>
      <xdr:nvGrpSpPr>
        <xdr:cNvPr id="21" name="Grupo 20">
          <a:extLst>
            <a:ext uri="{FF2B5EF4-FFF2-40B4-BE49-F238E27FC236}">
              <a16:creationId xmlns:a16="http://schemas.microsoft.com/office/drawing/2014/main" id="{2FB7C136-4B2E-59FE-E824-A6ED7AAAA86E}"/>
            </a:ext>
          </a:extLst>
        </xdr:cNvPr>
        <xdr:cNvGrpSpPr/>
      </xdr:nvGrpSpPr>
      <xdr:grpSpPr>
        <a:xfrm>
          <a:off x="168983025" y="381000"/>
          <a:ext cx="4572000" cy="2743200"/>
          <a:chOff x="168983025" y="381000"/>
          <a:chExt cx="4572000" cy="2743200"/>
        </a:xfrm>
      </xdr:grpSpPr>
      <xdr:graphicFrame macro="">
        <xdr:nvGraphicFramePr>
          <xdr:cNvPr id="19" name="Gráfico 18">
            <a:extLst>
              <a:ext uri="{FF2B5EF4-FFF2-40B4-BE49-F238E27FC236}">
                <a16:creationId xmlns:a16="http://schemas.microsoft.com/office/drawing/2014/main" id="{6863B427-B88E-4B6D-B336-FDCAB1BBF5D8}"/>
              </a:ext>
            </a:extLst>
          </xdr:cNvPr>
          <xdr:cNvGraphicFramePr>
            <a:graphicFrameLocks/>
          </xdr:cNvGraphicFramePr>
        </xdr:nvGraphicFramePr>
        <xdr:xfrm>
          <a:off x="168983025" y="38100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20" name="CuadroTexto 19">
            <a:extLst>
              <a:ext uri="{FF2B5EF4-FFF2-40B4-BE49-F238E27FC236}">
                <a16:creationId xmlns:a16="http://schemas.microsoft.com/office/drawing/2014/main" id="{1225113D-8BDC-AA1A-196B-5014B35DC8F7}"/>
              </a:ext>
            </a:extLst>
          </xdr:cNvPr>
          <xdr:cNvSpPr txBox="1"/>
        </xdr:nvSpPr>
        <xdr:spPr>
          <a:xfrm>
            <a:off x="169164000" y="2809875"/>
            <a:ext cx="650243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1100"/>
              <a:t>p=</a:t>
            </a:r>
            <a:r>
              <a:rPr lang="es-CO" sz="1100" b="1">
                <a:solidFill>
                  <a:srgbClr val="FF0000"/>
                </a:solidFill>
              </a:rPr>
              <a:t>0,003</a:t>
            </a:r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0.77778</cdr:x>
      <cdr:y>0.16782</cdr:y>
    </cdr:from>
    <cdr:to>
      <cdr:x>0.92</cdr:x>
      <cdr:y>0.26427</cdr:y>
    </cdr:to>
    <cdr:sp macro="" textlink="">
      <cdr:nvSpPr>
        <cdr:cNvPr id="2" name="CuadroTexto 19">
          <a:extLst xmlns:a="http://schemas.openxmlformats.org/drawingml/2006/main">
            <a:ext uri="{FF2B5EF4-FFF2-40B4-BE49-F238E27FC236}">
              <a16:creationId xmlns:a16="http://schemas.microsoft.com/office/drawing/2014/main" id="{1225113D-8BDC-AA1A-196B-5014B35DC8F7}"/>
            </a:ext>
          </a:extLst>
        </cdr:cNvPr>
        <cdr:cNvSpPr txBox="1"/>
      </cdr:nvSpPr>
      <cdr:spPr>
        <a:xfrm xmlns:a="http://schemas.openxmlformats.org/drawingml/2006/main">
          <a:off x="3556000" y="460375"/>
          <a:ext cx="650243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p=</a:t>
          </a:r>
          <a:r>
            <a:rPr lang="es-CO" sz="1100" b="1">
              <a:solidFill>
                <a:srgbClr val="FF0000"/>
              </a:solidFill>
            </a:rPr>
            <a:t>0,000</a:t>
          </a:r>
        </a:p>
      </cdr:txBody>
    </cdr:sp>
  </cdr:relSizeAnchor>
  <cdr:relSizeAnchor xmlns:cdr="http://schemas.openxmlformats.org/drawingml/2006/chartDrawing">
    <cdr:from>
      <cdr:x>0.50069</cdr:x>
      <cdr:y>0.81366</cdr:y>
    </cdr:from>
    <cdr:to>
      <cdr:x>0.64292</cdr:x>
      <cdr:y>0.9101</cdr:y>
    </cdr:to>
    <cdr:sp macro="" textlink="">
      <cdr:nvSpPr>
        <cdr:cNvPr id="3" name="CuadroTexto 19">
          <a:extLst xmlns:a="http://schemas.openxmlformats.org/drawingml/2006/main">
            <a:ext uri="{FF2B5EF4-FFF2-40B4-BE49-F238E27FC236}">
              <a16:creationId xmlns:a16="http://schemas.microsoft.com/office/drawing/2014/main" id="{B4C87088-C745-279C-F0FE-9F72539F509C}"/>
            </a:ext>
          </a:extLst>
        </cdr:cNvPr>
        <cdr:cNvSpPr txBox="1"/>
      </cdr:nvSpPr>
      <cdr:spPr>
        <a:xfrm xmlns:a="http://schemas.openxmlformats.org/drawingml/2006/main">
          <a:off x="2289175" y="2232025"/>
          <a:ext cx="650243" cy="264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p=</a:t>
          </a:r>
          <a:r>
            <a:rPr lang="es-CO" sz="1100" b="1">
              <a:solidFill>
                <a:srgbClr val="FF0000"/>
              </a:solidFill>
            </a:rPr>
            <a:t>0,000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11</xdr:row>
      <xdr:rowOff>95250</xdr:rowOff>
    </xdr:from>
    <xdr:to>
      <xdr:col>5</xdr:col>
      <xdr:colOff>466726</xdr:colOff>
      <xdr:row>22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570CED-A31A-AF6B-E98B-636F5D3FFD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1304924</xdr:colOff>
      <xdr:row>15</xdr:row>
      <xdr:rowOff>147637</xdr:rowOff>
    </xdr:from>
    <xdr:to>
      <xdr:col>15</xdr:col>
      <xdr:colOff>266699</xdr:colOff>
      <xdr:row>30</xdr:row>
      <xdr:rowOff>33337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0CEBF2C-B1C3-42FB-8BC7-20C6EBD819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819150</xdr:colOff>
      <xdr:row>22</xdr:row>
      <xdr:rowOff>90487</xdr:rowOff>
    </xdr:from>
    <xdr:to>
      <xdr:col>17</xdr:col>
      <xdr:colOff>609600</xdr:colOff>
      <xdr:row>36</xdr:row>
      <xdr:rowOff>166687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6C4C634-38B8-F7C8-8616-40B468E4CE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809624</xdr:colOff>
      <xdr:row>5</xdr:row>
      <xdr:rowOff>28574</xdr:rowOff>
    </xdr:from>
    <xdr:to>
      <xdr:col>18</xdr:col>
      <xdr:colOff>104775</xdr:colOff>
      <xdr:row>22</xdr:row>
      <xdr:rowOff>76199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9C463527-75F7-F520-F819-198FB2F37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800100</xdr:colOff>
      <xdr:row>27</xdr:row>
      <xdr:rowOff>42859</xdr:rowOff>
    </xdr:from>
    <xdr:to>
      <xdr:col>17</xdr:col>
      <xdr:colOff>161925</xdr:colOff>
      <xdr:row>61</xdr:row>
      <xdr:rowOff>95250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F229199C-56A1-A477-25F6-257984BCF8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714374</xdr:colOff>
      <xdr:row>11</xdr:row>
      <xdr:rowOff>90485</xdr:rowOff>
    </xdr:from>
    <xdr:to>
      <xdr:col>27</xdr:col>
      <xdr:colOff>809624</xdr:colOff>
      <xdr:row>39</xdr:row>
      <xdr:rowOff>19050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42D88474-622F-AB41-E2CA-14926C9940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namericana\AppData\Roaming\Microsoft\Complementos\XRealStats.xlam" TargetMode="External"/><Relationship Id="rId1" Type="http://schemas.openxmlformats.org/officeDocument/2006/relationships/externalLinkPath" Target="/Users/panamericana/AppData/Roaming/Microsoft/Complementos/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XRealStats"/>
    </sheetNames>
    <definedNames>
      <definedName name="CAColFactors"/>
      <definedName name="CAEigen"/>
      <definedName name="CARowFactors"/>
      <definedName name="CHI_MAX2"/>
      <definedName name="CHI_STAT2"/>
      <definedName name="CHI_TEST"/>
      <definedName name="CHISQ_INV"/>
      <definedName name="CHISQ_INV_RT"/>
      <definedName name="CLUST"/>
      <definedName name="CLUST_Converge"/>
      <definedName name="FSTAR_TEST"/>
      <definedName name="LEVENE"/>
      <definedName name="QCRIT"/>
      <definedName name="QDIST"/>
      <definedName name="RANK_SUM"/>
      <definedName name="StdAnova1"/>
      <definedName name="TiesCorrection"/>
      <definedName name="WELCH_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jandra Ariza" refreshedDate="45400.785724768517" createdVersion="8" refreshedVersion="8" minRefreshableVersion="3" recordCount="55" xr:uid="{939F4C4F-22AC-475B-A864-91C223559EC4}">
  <cacheSource type="worksheet">
    <worksheetSource name="Tabla2"/>
  </cacheSource>
  <cacheFields count="2">
    <cacheField name="EDAD " numFmtId="0">
      <sharedItems containsSemiMixedTypes="0" containsString="0" containsNumber="1" containsInteger="1" minValue="6" maxValue="14" count="9">
        <n v="9"/>
        <n v="10"/>
        <n v="12"/>
        <n v="8"/>
        <n v="11"/>
        <n v="6"/>
        <n v="7"/>
        <n v="14"/>
        <n v="13"/>
      </sharedItems>
    </cacheField>
    <cacheField name="SEXO " numFmtId="0">
      <sharedItems count="3">
        <s v="F"/>
        <s v="M"/>
        <s v="F 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Alejandra Ariza" refreshedDate="45400.856691550929" backgroundQuery="1" createdVersion="8" refreshedVersion="8" minRefreshableVersion="3" recordCount="0" supportSubquery="1" supportAdvancedDrill="1" xr:uid="{69CEBBC0-9B14-471D-99C6-57CFD07576BA}">
  <cacheSource type="external" connectionId="1"/>
  <cacheFields count="3">
    <cacheField name="[Tabla2].[DIAGNÓSTICO DE TIPO ROTACIONAL].[DIAGNÓSTICO DE TIPO ROTACIONAL]" caption="DIAGNÓSTICO DE TIPO ROTACIONAL" numFmtId="0" hierarchy="2" level="1">
      <sharedItems count="22">
        <s v="A1DDB"/>
        <s v="A1DN"/>
        <s v="A1NN"/>
        <s v="A1NOB"/>
        <s v="P1MOB"/>
        <s v="P1NDB"/>
        <s v="P1NOB"/>
        <s v="P2DN"/>
        <s v="R1NDB"/>
        <s v="R1NN"/>
        <s v="R1NOB"/>
        <s v="R2DN"/>
        <s v="A1DOB" u="1"/>
        <s v="A2DDB" u="1"/>
        <s v="A3MN" u="1"/>
        <s v="A3MOB" u="1"/>
        <s v="P1MDB" u="1"/>
        <s v="P1NN" u="1"/>
        <s v="P2DDB" u="1"/>
        <s v="P2DOB" u="1"/>
        <s v="R2DDB" u="1"/>
        <s v="R2DOB" u="1"/>
      </sharedItems>
    </cacheField>
    <cacheField name="[Measures].[Recuento de SEXO]" caption="Recuento de SEXO" numFmtId="0" hierarchy="5" level="32767"/>
    <cacheField name="[Tabla2].[SEXO].[SEXO]" caption="SEXO" numFmtId="0" hierarchy="1" level="1">
      <sharedItems count="2">
        <s v="M"/>
        <s v="F" u="1"/>
      </sharedItems>
    </cacheField>
  </cacheFields>
  <cacheHierarchies count="7">
    <cacheHierarchy uniqueName="[Tabla2].[EDAD]" caption="EDAD" attribute="1" defaultMemberUniqueName="[Tabla2].[EDAD].[All]" allUniqueName="[Tabla2].[EDAD].[All]" dimensionUniqueName="[Tabla2]" displayFolder="" count="2" memberValueDatatype="20" unbalanced="0"/>
    <cacheHierarchy uniqueName="[Tabla2].[SEXO]" caption="SEXO" attribute="1" defaultMemberUniqueName="[Tabla2].[SEXO].[All]" allUniqueName="[Tabla2].[SEXO].[All]" dimensionUniqueName="[Tabla2]" displayFolder="" count="2" memberValueDatatype="130" unbalanced="0">
      <fieldsUsage count="2">
        <fieldUsage x="-1"/>
        <fieldUsage x="2"/>
      </fieldsUsage>
    </cacheHierarchy>
    <cacheHierarchy uniqueName="[Tabla2].[DIAGNÓSTICO DE TIPO ROTACIONAL]" caption="DIAGNÓSTICO DE TIPO ROTACIONAL" attribute="1" defaultMemberUniqueName="[Tabla2].[DIAGNÓSTICO DE TIPO ROTACIONAL].[All]" allUniqueName="[Tabla2].[DIAGNÓSTICO DE TIPO ROTACIONAL].[All]" dimensionUniqueName="[Tabla2]" displayFolder="" count="2" memberValueDatatype="130" unbalanced="0">
      <fieldsUsage count="2">
        <fieldUsage x="-1"/>
        <fieldUsage x="0"/>
      </fieldsUsage>
    </cacheHierarchy>
    <cacheHierarchy uniqueName="[Measures].[__XL_Count Tabla2]" caption="__XL_Count Tabla2" measure="1" displayFolder="" measureGroup="Tabla2" count="0" hidden="1"/>
    <cacheHierarchy uniqueName="[Measures].[__No measures defined]" caption="__No measures defined" measure="1" displayFolder="" count="0" hidden="1"/>
    <cacheHierarchy uniqueName="[Measures].[Recuento de SEXO]" caption="Recuento de SEXO" measure="1" displayFolder="" measureGroup="Tabla2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Suma de EDAD]" caption="Suma de EDAD" measure="1" displayFolder="" measureGroup="Tabla2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Tabla2" uniqueName="[Tabla2]" caption="Tabla2"/>
  </dimensions>
  <measureGroups count="1">
    <measureGroup name="Tabla2" caption="Tabla2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422.348231828706" createdVersion="8" refreshedVersion="8" minRefreshableVersion="3" recordCount="55" xr:uid="{16014DCC-6522-4BCA-BBC6-4A55BF41D6B1}">
  <cacheSource type="worksheet">
    <worksheetSource ref="A1:R56" sheet="Caracterización (2)"/>
  </cacheSource>
  <cacheFields count="18">
    <cacheField name="MUESTRA" numFmtId="0">
      <sharedItems containsSemiMixedTypes="0" containsString="0" containsNumber="1" containsInteger="1" minValue="1" maxValue="55"/>
    </cacheField>
    <cacheField name="IDENTIFICACIÓN T.I" numFmtId="0">
      <sharedItems containsString="0" containsBlank="1" containsNumber="1" containsInteger="1" minValue="1010209452" maxValue="1188216704"/>
    </cacheField>
    <cacheField name="EDAD " numFmtId="0">
      <sharedItems containsSemiMixedTypes="0" containsString="0" containsNumber="1" containsInteger="1" minValue="6" maxValue="14"/>
    </cacheField>
    <cacheField name="SEXO " numFmtId="0">
      <sharedItems/>
    </cacheField>
    <cacheField name="SNA" numFmtId="0">
      <sharedItems containsSemiMixedTypes="0" containsString="0" containsNumber="1" containsInteger="1" minValue="67" maxValue="90"/>
    </cacheField>
    <cacheField name="SNB" numFmtId="0">
      <sharedItems containsSemiMixedTypes="0" containsString="0" containsNumber="1" containsInteger="1" minValue="64" maxValue="88"/>
    </cacheField>
    <cacheField name="ANB" numFmtId="0">
      <sharedItems containsMixedTypes="1" containsNumber="1" containsInteger="1" minValue="1" maxValue="7"/>
    </cacheField>
    <cacheField name="ÁNGULO LM (S-N/Go-Me)" numFmtId="0">
      <sharedItems containsSemiMixedTypes="0" containsString="0" containsNumber="1" containsInteger="1" minValue="30" maxValue="51"/>
    </cacheField>
    <cacheField name="ÁNGULO DE LA LÍNEA NASAL (S-N/ENA-ENP)" numFmtId="0">
      <sharedItems containsSemiMixedTypes="0" containsString="0" containsNumber="1" containsInteger="1" minValue="4" maxValue="17"/>
    </cacheField>
    <cacheField name="T1" numFmtId="0">
      <sharedItems containsSemiMixedTypes="0" containsString="0" containsNumber="1" minValue="-25" maxValue="13"/>
    </cacheField>
    <cacheField name="T2" numFmtId="0">
      <sharedItems containsMixedTypes="1" containsNumber="1" minValue="-4" maxValue="10"/>
    </cacheField>
    <cacheField name="DX T2" numFmtId="0">
      <sharedItems count="3">
        <s v="T22"/>
        <s v="T23"/>
        <s v="T21"/>
      </sharedItems>
    </cacheField>
    <cacheField name="T3" numFmtId="0">
      <sharedItems containsSemiMixedTypes="0" containsString="0" containsNumber="1" containsInteger="1" minValue="-4" maxValue="7"/>
    </cacheField>
    <cacheField name="DX T3" numFmtId="0">
      <sharedItems count="9">
        <s v="T221"/>
        <s v="T231"/>
        <s v="T211"/>
        <s v="T223"/>
        <s v="T222"/>
        <s v="T232"/>
        <s v="T212"/>
        <s v="T233"/>
        <s v="T213"/>
      </sharedItems>
    </cacheField>
    <cacheField name="DIAGNÓSTICO DE TIPO ROTACIONAL" numFmtId="0">
      <sharedItems/>
    </cacheField>
    <cacheField name="DESCRIPCIÓN TIPO ROTACIONAL" numFmtId="0">
      <sharedItems/>
    </cacheField>
    <cacheField name="CATEGORÍA AUXOLÓGICA" numFmtId="0">
      <sharedItems containsSemiMixedTypes="0" containsString="0" containsNumber="1" containsInteger="1" minValue="1" maxValue="6"/>
    </cacheField>
    <cacheField name="TRATAMIENTO / APARATO ORTOPÉDIC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422.424241666668" createdVersion="8" refreshedVersion="8" minRefreshableVersion="3" recordCount="55" xr:uid="{E57CCCFF-8587-48C1-8B09-D11FF1A6C6F1}">
  <cacheSource type="worksheet">
    <worksheetSource ref="ES1:ET56" sheet="Hoja3"/>
  </cacheSource>
  <cacheFields count="2">
    <cacheField name="Cluster" numFmtId="0">
      <sharedItems containsSemiMixedTypes="0" containsString="0" containsNumber="1" containsInteger="1" minValue="1" maxValue="3" count="3">
        <n v="1"/>
        <n v="2"/>
        <n v="3"/>
      </sharedItems>
    </cacheField>
    <cacheField name="DIAGNÓSTICO DE TIPO ROTACIONAL" numFmtId="0">
      <sharedItems count="22">
        <s v="R1NOB"/>
        <s v="P2DOB"/>
        <s v="A3MOB"/>
        <s v="R2DOB"/>
        <s v="R2DDB"/>
        <s v="P1NOB"/>
        <s v="R2DN"/>
        <s v="P1MOB"/>
        <s v="P2DN"/>
        <s v="A1DN"/>
        <s v="P2DDB"/>
        <s v="A1NOB"/>
        <s v="A1NN"/>
        <s v="A3MN"/>
        <s v="A2DDB"/>
        <s v="A1DDB"/>
        <s v="P1NDB"/>
        <s v="P1NN"/>
        <s v="A1DOB"/>
        <s v="R1NN"/>
        <s v="R1NDB"/>
        <s v="P1MDB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x v="0"/>
    <x v="0"/>
  </r>
  <r>
    <x v="1"/>
    <x v="0"/>
  </r>
  <r>
    <x v="2"/>
    <x v="0"/>
  </r>
  <r>
    <x v="2"/>
    <x v="0"/>
  </r>
  <r>
    <x v="0"/>
    <x v="0"/>
  </r>
  <r>
    <x v="3"/>
    <x v="0"/>
  </r>
  <r>
    <x v="4"/>
    <x v="0"/>
  </r>
  <r>
    <x v="0"/>
    <x v="0"/>
  </r>
  <r>
    <x v="0"/>
    <x v="0"/>
  </r>
  <r>
    <x v="2"/>
    <x v="1"/>
  </r>
  <r>
    <x v="5"/>
    <x v="1"/>
  </r>
  <r>
    <x v="2"/>
    <x v="0"/>
  </r>
  <r>
    <x v="6"/>
    <x v="1"/>
  </r>
  <r>
    <x v="2"/>
    <x v="0"/>
  </r>
  <r>
    <x v="2"/>
    <x v="0"/>
  </r>
  <r>
    <x v="3"/>
    <x v="0"/>
  </r>
  <r>
    <x v="5"/>
    <x v="0"/>
  </r>
  <r>
    <x v="6"/>
    <x v="1"/>
  </r>
  <r>
    <x v="7"/>
    <x v="0"/>
  </r>
  <r>
    <x v="1"/>
    <x v="0"/>
  </r>
  <r>
    <x v="8"/>
    <x v="0"/>
  </r>
  <r>
    <x v="4"/>
    <x v="0"/>
  </r>
  <r>
    <x v="4"/>
    <x v="0"/>
  </r>
  <r>
    <x v="3"/>
    <x v="1"/>
  </r>
  <r>
    <x v="5"/>
    <x v="1"/>
  </r>
  <r>
    <x v="4"/>
    <x v="0"/>
  </r>
  <r>
    <x v="2"/>
    <x v="0"/>
  </r>
  <r>
    <x v="4"/>
    <x v="1"/>
  </r>
  <r>
    <x v="1"/>
    <x v="1"/>
  </r>
  <r>
    <x v="8"/>
    <x v="0"/>
  </r>
  <r>
    <x v="0"/>
    <x v="1"/>
  </r>
  <r>
    <x v="5"/>
    <x v="1"/>
  </r>
  <r>
    <x v="7"/>
    <x v="0"/>
  </r>
  <r>
    <x v="8"/>
    <x v="0"/>
  </r>
  <r>
    <x v="0"/>
    <x v="0"/>
  </r>
  <r>
    <x v="4"/>
    <x v="1"/>
  </r>
  <r>
    <x v="7"/>
    <x v="0"/>
  </r>
  <r>
    <x v="8"/>
    <x v="0"/>
  </r>
  <r>
    <x v="1"/>
    <x v="0"/>
  </r>
  <r>
    <x v="2"/>
    <x v="0"/>
  </r>
  <r>
    <x v="0"/>
    <x v="0"/>
  </r>
  <r>
    <x v="8"/>
    <x v="0"/>
  </r>
  <r>
    <x v="0"/>
    <x v="1"/>
  </r>
  <r>
    <x v="2"/>
    <x v="0"/>
  </r>
  <r>
    <x v="0"/>
    <x v="0"/>
  </r>
  <r>
    <x v="8"/>
    <x v="0"/>
  </r>
  <r>
    <x v="0"/>
    <x v="1"/>
  </r>
  <r>
    <x v="7"/>
    <x v="1"/>
  </r>
  <r>
    <x v="7"/>
    <x v="0"/>
  </r>
  <r>
    <x v="6"/>
    <x v="0"/>
  </r>
  <r>
    <x v="2"/>
    <x v="0"/>
  </r>
  <r>
    <x v="7"/>
    <x v="0"/>
  </r>
  <r>
    <x v="0"/>
    <x v="0"/>
  </r>
  <r>
    <x v="8"/>
    <x v="1"/>
  </r>
  <r>
    <x v="0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n v="1"/>
    <n v="1140926993"/>
    <n v="9"/>
    <s v="F"/>
    <n v="74"/>
    <n v="72"/>
    <n v="2"/>
    <n v="43"/>
    <n v="5"/>
    <n v="5"/>
    <n v="9.5"/>
    <x v="0"/>
    <n v="2"/>
    <x v="0"/>
    <s v="R1NOB"/>
    <s v="Rotación neutra, Clase I, Relación normal, Mordida abierta"/>
    <n v="4"/>
    <m/>
  </r>
  <r>
    <n v="2"/>
    <n v="1025071557"/>
    <n v="10"/>
    <s v="F"/>
    <n v="87"/>
    <n v="81"/>
    <n v="6"/>
    <n v="35"/>
    <n v="7"/>
    <n v="-5"/>
    <n v="3.5"/>
    <x v="1"/>
    <n v="6"/>
    <x v="1"/>
    <s v="P2DOB"/>
    <s v="Rotación posterior, Clase II, Relación distal, Mordida abierta"/>
    <n v="1"/>
    <m/>
  </r>
  <r>
    <n v="3"/>
    <n v="1019986884"/>
    <n v="12"/>
    <s v="F"/>
    <n v="69"/>
    <n v="70"/>
    <n v="1"/>
    <n v="45"/>
    <n v="7"/>
    <n v="7"/>
    <n v="8.5"/>
    <x v="2"/>
    <n v="1"/>
    <x v="2"/>
    <s v="A3MOB"/>
    <s v="Rotación anterior, Clase III, Relación mesial, Mordida abierta"/>
    <n v="2"/>
    <m/>
  </r>
  <r>
    <n v="4"/>
    <n v="1023369404"/>
    <n v="12"/>
    <s v="F"/>
    <n v="80"/>
    <n v="77"/>
    <n v="3"/>
    <n v="33"/>
    <n v="4"/>
    <n v="5"/>
    <n v="5.5"/>
    <x v="0"/>
    <n v="3"/>
    <x v="0"/>
    <s v="R1NOB"/>
    <s v="Rotación normal, Clase I, Relación normal, Mordida abierta"/>
    <n v="4"/>
    <m/>
  </r>
  <r>
    <n v="5"/>
    <n v="1028683488"/>
    <n v="9"/>
    <s v="F"/>
    <n v="80"/>
    <n v="74"/>
    <n v="6"/>
    <n v="42"/>
    <n v="9"/>
    <n v="2"/>
    <n v="5"/>
    <x v="0"/>
    <n v="6"/>
    <x v="0"/>
    <s v="R2DOB"/>
    <s v="Rotación neutra, Clase II, Relación distal, Mordida abierta"/>
    <n v="3"/>
    <m/>
  </r>
  <r>
    <n v="6"/>
    <n v="1011236422"/>
    <n v="8"/>
    <s v="F"/>
    <n v="77"/>
    <n v="74"/>
    <n v="3"/>
    <n v="41"/>
    <n v="10"/>
    <n v="3"/>
    <n v="3.5"/>
    <x v="0"/>
    <n v="3"/>
    <x v="0"/>
    <s v="R1NOB"/>
    <s v="Rotación neutra, Clase I, Relación normal, Mordida abierta"/>
    <n v="4"/>
    <m/>
  </r>
  <r>
    <n v="7"/>
    <n v="1025327137"/>
    <n v="11"/>
    <s v="F"/>
    <n v="80"/>
    <n v="74"/>
    <n v="6"/>
    <n v="40"/>
    <n v="14"/>
    <n v="4"/>
    <n v="-1"/>
    <x v="0"/>
    <n v="6"/>
    <x v="3"/>
    <s v="R2DDB"/>
    <s v="Rotación neutra, Clase II, Relación distal, Mordida profunda"/>
    <n v="3"/>
    <m/>
  </r>
  <r>
    <n v="8"/>
    <n v="1023948634"/>
    <n v="9"/>
    <s v="F"/>
    <n v="84"/>
    <n v="79"/>
    <n v="5"/>
    <n v="40"/>
    <n v="8"/>
    <n v="-6"/>
    <n v="5"/>
    <x v="1"/>
    <n v="5"/>
    <x v="1"/>
    <s v="P1NOB"/>
    <s v="Rotación Posterior, Clase I, Relación normal, Mordida abierta"/>
    <n v="2"/>
    <m/>
  </r>
  <r>
    <n v="9"/>
    <n v="1016733456"/>
    <n v="9"/>
    <s v="F"/>
    <n v="83"/>
    <n v="77"/>
    <n v="5"/>
    <n v="40"/>
    <n v="9"/>
    <n v="-2"/>
    <n v="4"/>
    <x v="1"/>
    <n v="5"/>
    <x v="1"/>
    <s v="P1NOB"/>
    <s v="Rotación Posterior, Clase I, Relación normal, Mordida abierta"/>
    <n v="2"/>
    <m/>
  </r>
  <r>
    <n v="10"/>
    <n v="1010209452"/>
    <n v="12"/>
    <s v="M"/>
    <n v="81"/>
    <n v="76"/>
    <n v="5"/>
    <n v="40"/>
    <n v="11"/>
    <n v="0"/>
    <n v="2"/>
    <x v="0"/>
    <n v="5"/>
    <x v="4"/>
    <s v="R2DN"/>
    <s v="Rotación neutra, Clase II, Relación distal, Mordida normal"/>
    <n v="3"/>
    <m/>
  </r>
  <r>
    <n v="11"/>
    <n v="1030668204"/>
    <n v="6"/>
    <s v="M"/>
    <n v="77"/>
    <n v="81"/>
    <s v="(-4)"/>
    <n v="44"/>
    <n v="5"/>
    <n v="-14"/>
    <n v="10"/>
    <x v="1"/>
    <n v="-4"/>
    <x v="1"/>
    <s v="P1MOB"/>
    <s v="Rotación posterior, Clase I, Relación mesial, Mordida abierta"/>
    <n v="5"/>
    <m/>
  </r>
  <r>
    <n v="12"/>
    <n v="1019604529"/>
    <n v="12"/>
    <s v="F"/>
    <n v="80"/>
    <n v="74"/>
    <n v="6"/>
    <n v="47"/>
    <n v="10"/>
    <n v="-3"/>
    <n v="6.5"/>
    <x v="1"/>
    <n v="6"/>
    <x v="1"/>
    <s v="P2DOB"/>
    <s v="Rotación posterior, Clase II, Relación distal, Mordida abierta"/>
    <n v="1"/>
    <m/>
  </r>
  <r>
    <n v="13"/>
    <n v="1023959879"/>
    <n v="7"/>
    <s v="M"/>
    <n v="82"/>
    <n v="83"/>
    <s v="(-1)"/>
    <n v="40"/>
    <n v="7"/>
    <n v="-14"/>
    <n v="6"/>
    <x v="1"/>
    <n v="-1"/>
    <x v="1"/>
    <s v="P1MOB"/>
    <s v="Rotación posterior, Clase I, Relación mesial, Mordida abierta"/>
    <n v="5"/>
    <m/>
  </r>
  <r>
    <n v="14"/>
    <n v="1023381606"/>
    <n v="12"/>
    <s v="F"/>
    <n v="84"/>
    <n v="80"/>
    <n v="4"/>
    <n v="35"/>
    <n v="8"/>
    <n v="-3"/>
    <n v="2.5"/>
    <x v="1"/>
    <n v="4"/>
    <x v="5"/>
    <s v="P2DN"/>
    <s v="Rotación Posterior, Clase II, Relacion Distal, Mordida normal"/>
    <n v="1"/>
    <m/>
  </r>
  <r>
    <n v="15"/>
    <n v="1021675756"/>
    <n v="12"/>
    <s v="F"/>
    <n v="89"/>
    <n v="86"/>
    <n v="3"/>
    <n v="34"/>
    <n v="4"/>
    <n v="-14"/>
    <n v="6"/>
    <x v="1"/>
    <n v="3"/>
    <x v="1"/>
    <s v="P1NOB"/>
    <s v="Rotación Posterior, Clase I, Relación normal, Mordida abierta"/>
    <n v="2"/>
    <m/>
  </r>
  <r>
    <n v="16"/>
    <m/>
    <n v="8"/>
    <s v="F"/>
    <n v="87"/>
    <n v="82"/>
    <n v="5"/>
    <n v="36"/>
    <n v="8"/>
    <n v="-8"/>
    <n v="3"/>
    <x v="2"/>
    <n v="5"/>
    <x v="6"/>
    <s v="A1DN"/>
    <s v="Rotación anterior, Clase I, Relación distal, Mordida normal"/>
    <n v="5"/>
    <m/>
  </r>
  <r>
    <n v="17"/>
    <n v="1031172773"/>
    <n v="6"/>
    <s v="F "/>
    <n v="81"/>
    <n v="78"/>
    <n v="3"/>
    <n v="40"/>
    <n v="16"/>
    <n v="-4"/>
    <n v="-3"/>
    <x v="1"/>
    <n v="3"/>
    <x v="7"/>
    <s v="P2DDB"/>
    <s v="Rotación posterior, Clase II, Relación distal, Mordida profunda"/>
    <n v="1"/>
    <m/>
  </r>
  <r>
    <n v="18"/>
    <n v="1188216704"/>
    <n v="7"/>
    <s v="M"/>
    <n v="80"/>
    <n v="82"/>
    <n v="2"/>
    <n v="36"/>
    <n v="7"/>
    <n v="-8"/>
    <n v="4"/>
    <x v="2"/>
    <n v="2"/>
    <x v="2"/>
    <s v="A1NOB"/>
    <s v="Rotación anterior, Clase I, Relación normal, Mordida abierta"/>
    <n v="5"/>
    <m/>
  </r>
  <r>
    <n v="19"/>
    <n v="1034277995"/>
    <n v="14"/>
    <s v="F"/>
    <n v="80"/>
    <n v="79"/>
    <n v="1"/>
    <n v="35"/>
    <n v="8"/>
    <n v="-1"/>
    <n v="2.5"/>
    <x v="2"/>
    <n v="1"/>
    <x v="6"/>
    <s v="A1NN"/>
    <s v="Rotación anterior. Clase I, Relación normal, Mordida normal"/>
    <n v="5"/>
    <m/>
  </r>
  <r>
    <n v="20"/>
    <n v="1049620285"/>
    <n v="10"/>
    <s v="F"/>
    <n v="79"/>
    <n v="76"/>
    <n v="3"/>
    <n v="42"/>
    <n v="9"/>
    <n v="-2"/>
    <n v="5"/>
    <x v="2"/>
    <n v="3"/>
    <x v="2"/>
    <s v="A1NOB"/>
    <s v="Rotación anterior, Clase I, Relación normal, Mordida abierta"/>
    <n v="5"/>
    <m/>
  </r>
  <r>
    <n v="21"/>
    <n v="1013606908"/>
    <n v="13"/>
    <s v="F"/>
    <n v="76"/>
    <n v="75"/>
    <s v="(-1)"/>
    <n v="39"/>
    <n v="11"/>
    <n v="3"/>
    <n v="1.5"/>
    <x v="2"/>
    <n v="-1"/>
    <x v="6"/>
    <s v="A3MN"/>
    <s v="Rotación anterior, Clase III, Relación mesial, Mordida normal"/>
    <n v="6"/>
    <m/>
  </r>
  <r>
    <n v="22"/>
    <n v="1028862241"/>
    <n v="11"/>
    <s v="F"/>
    <n v="81"/>
    <n v="74"/>
    <n v="7"/>
    <n v="45"/>
    <n v="17"/>
    <n v="-1"/>
    <n v="-1.5"/>
    <x v="2"/>
    <n v="7"/>
    <x v="8"/>
    <s v="A2DDB"/>
    <s v="Rotación anterior, Clase II, Relación distal, Mordida profunda"/>
    <n v="2"/>
    <m/>
  </r>
  <r>
    <n v="23"/>
    <n v="1141332591"/>
    <n v="11"/>
    <s v="F"/>
    <n v="84"/>
    <n v="80"/>
    <n v="4"/>
    <n v="35"/>
    <n v="12"/>
    <n v="-3"/>
    <n v="-1.5"/>
    <x v="2"/>
    <n v="4"/>
    <x v="8"/>
    <s v="A1DDB"/>
    <s v="Rotación anterior, Clase I, Relación distral, Mordida profunda"/>
    <n v="5"/>
    <m/>
  </r>
  <r>
    <n v="24"/>
    <n v="1141342937"/>
    <n v="8"/>
    <s v="M"/>
    <n v="90"/>
    <n v="88"/>
    <n v="2"/>
    <n v="41"/>
    <n v="14"/>
    <n v="-25"/>
    <n v="-0.5"/>
    <x v="1"/>
    <n v="2"/>
    <x v="7"/>
    <s v="P1NDB"/>
    <s v="Rotación posterior, Clase I, Relación normal, Mordida profunda"/>
    <n v="2"/>
    <m/>
  </r>
  <r>
    <n v="25"/>
    <n v="1030668204"/>
    <n v="6"/>
    <s v="M"/>
    <n v="73"/>
    <n v="76"/>
    <n v="3"/>
    <n v="49"/>
    <n v="10"/>
    <n v="7.5"/>
    <n v="10"/>
    <x v="1"/>
    <n v="3"/>
    <x v="1"/>
    <s v="P1NOB"/>
    <s v="Rotación Posterior, Clase I, Relación normal, Mordida abierta"/>
    <n v="2"/>
    <m/>
  </r>
  <r>
    <n v="26"/>
    <n v="1021684117"/>
    <n v="11"/>
    <s v="F"/>
    <n v="83"/>
    <n v="78"/>
    <n v="5"/>
    <n v="36"/>
    <n v="9"/>
    <n v="0"/>
    <n v="2"/>
    <x v="0"/>
    <n v="5"/>
    <x v="4"/>
    <s v="R2DN"/>
    <s v="Rotación neutra, Clase II, Relación distal, Mordida normal"/>
    <n v="3"/>
    <m/>
  </r>
  <r>
    <n v="27"/>
    <n v="1092736045"/>
    <n v="12"/>
    <s v="F"/>
    <n v="77"/>
    <n v="79"/>
    <n v="2"/>
    <n v="43"/>
    <n v="11"/>
    <n v="-9"/>
    <n v="3.5"/>
    <x v="1"/>
    <n v="2"/>
    <x v="1"/>
    <s v="P1NOB"/>
    <s v="Rotación Posterior, Clase I, Relación normal, Mordida abierta"/>
    <n v="2"/>
    <m/>
  </r>
  <r>
    <n v="28"/>
    <n v="1024540177"/>
    <n v="11"/>
    <s v="M"/>
    <n v="85"/>
    <n v="79"/>
    <n v="6"/>
    <n v="33"/>
    <n v="7"/>
    <n v="1"/>
    <n v="2.5"/>
    <x v="0"/>
    <n v="6"/>
    <x v="4"/>
    <s v="R2DN"/>
    <s v="Rotación neutra, Clase II, Relación distal, Mordida normal"/>
    <n v="3"/>
    <m/>
  </r>
  <r>
    <n v="29"/>
    <n v="1013655563"/>
    <n v="10"/>
    <s v="M"/>
    <n v="81"/>
    <n v="76"/>
    <n v="5"/>
    <n v="37"/>
    <n v="6"/>
    <n v="3"/>
    <n v="5.5"/>
    <x v="0"/>
    <n v="5"/>
    <x v="0"/>
    <s v="R1NOB"/>
    <s v="Rotación neutra, Clase I, Relación normal, Mordida abierta"/>
    <n v="4"/>
    <m/>
  </r>
  <r>
    <n v="30"/>
    <n v="1034297426"/>
    <n v="13"/>
    <s v="F"/>
    <n v="89"/>
    <n v="82"/>
    <n v="7"/>
    <n v="40"/>
    <n v="5"/>
    <n v="-12"/>
    <n v="8"/>
    <x v="1"/>
    <n v="7"/>
    <x v="7"/>
    <s v="P2DOB"/>
    <s v="Rotación posterior, Clase II, Relación distal, Mordida abierta"/>
    <n v="1"/>
    <m/>
  </r>
  <r>
    <n v="31"/>
    <n v="1034304138"/>
    <n v="9"/>
    <s v="M"/>
    <n v="78"/>
    <n v="75"/>
    <n v="3"/>
    <n v="33"/>
    <n v="8"/>
    <n v="9"/>
    <s v="1.5"/>
    <x v="0"/>
    <n v="3"/>
    <x v="4"/>
    <s v="A1NN"/>
    <s v="Rotación anterior. Clase I, Relación normal, Mordida normal"/>
    <n v="5"/>
    <m/>
  </r>
  <r>
    <n v="32"/>
    <n v="1033118854"/>
    <n v="6"/>
    <s v="M"/>
    <n v="80"/>
    <n v="75"/>
    <n v="5"/>
    <n v="30"/>
    <n v="10"/>
    <n v="12"/>
    <n v="-2"/>
    <x v="2"/>
    <n v="5"/>
    <x v="8"/>
    <s v="A1DDB"/>
    <s v="Rotación anterior, Clase I, Relación distral, Mordida profunda"/>
    <n v="5"/>
    <m/>
  </r>
  <r>
    <n v="33"/>
    <n v="1032680320"/>
    <n v="14"/>
    <s v="F"/>
    <n v="84"/>
    <n v="82"/>
    <n v="2"/>
    <n v="33"/>
    <n v="9"/>
    <n v="-5"/>
    <n v="0.5"/>
    <x v="1"/>
    <n v="2"/>
    <x v="5"/>
    <s v="P1NN"/>
    <s v="Rotación Posterior, Clase I, Relación Normal, Mordida normal"/>
    <n v="2"/>
    <m/>
  </r>
  <r>
    <n v="34"/>
    <n v="1028787375"/>
    <n v="13"/>
    <s v="F"/>
    <n v="78"/>
    <n v="72"/>
    <n v="6"/>
    <n v="37"/>
    <n v="6"/>
    <n v="11"/>
    <n v="5.5"/>
    <x v="2"/>
    <n v="6"/>
    <x v="2"/>
    <s v="A1DOB"/>
    <s v="Rotación anterior, Clase II, Relación distal, Mordida abierta"/>
    <n v="1"/>
    <m/>
  </r>
  <r>
    <n v="35"/>
    <n v="1030643798"/>
    <n v="9"/>
    <s v="F"/>
    <n v="81"/>
    <n v="76"/>
    <n v="5"/>
    <n v="33"/>
    <n v="7"/>
    <n v="7"/>
    <n v="2.5"/>
    <x v="2"/>
    <n v="5"/>
    <x v="6"/>
    <s v="A1DN"/>
    <s v="Rotación anterior, Clase I, Relación distal, Mordida normal"/>
    <n v="5"/>
    <m/>
  </r>
  <r>
    <n v="36"/>
    <n v="1016728400"/>
    <n v="11"/>
    <s v="M"/>
    <n v="83"/>
    <n v="79"/>
    <n v="4"/>
    <n v="36"/>
    <n v="11"/>
    <n v="-2"/>
    <n v="0"/>
    <x v="1"/>
    <n v="4"/>
    <x v="5"/>
    <s v="P2DN"/>
    <s v="Rotación Posterior, Clase II, Relacion Distal, Mordida normal"/>
    <n v="1"/>
    <m/>
  </r>
  <r>
    <n v="37"/>
    <n v="1023899613"/>
    <n v="14"/>
    <s v="F"/>
    <n v="87"/>
    <n v="86"/>
    <n v="1"/>
    <n v="42"/>
    <n v="6"/>
    <n v="-22"/>
    <n v="8"/>
    <x v="1"/>
    <n v="1"/>
    <x v="1"/>
    <s v="P1NOB"/>
    <s v="Rotación Posterior, Clase I, Relación normal, Mordida abierta"/>
    <n v="2"/>
    <m/>
  </r>
  <r>
    <n v="38"/>
    <n v="1033731933"/>
    <n v="13"/>
    <s v="F"/>
    <n v="78"/>
    <n v="74"/>
    <n v="4"/>
    <n v="46"/>
    <n v="15"/>
    <n v="-2"/>
    <n v="1"/>
    <x v="1"/>
    <n v="4"/>
    <x v="5"/>
    <s v="P2DN"/>
    <s v="Rotación Posterior, Clase II, Relación distal, Mordida normal"/>
    <n v="1"/>
    <m/>
  </r>
  <r>
    <n v="39"/>
    <n v="1012921933"/>
    <n v="10"/>
    <s v="F"/>
    <n v="83"/>
    <n v="81"/>
    <n v="2"/>
    <n v="37"/>
    <n v="7"/>
    <n v="-7"/>
    <n v="4.5"/>
    <x v="1"/>
    <n v="2"/>
    <x v="1"/>
    <s v="P1NOB"/>
    <s v="Rotación Posterior, Clase I, Relación normal, Mordida abierta"/>
    <n v="2"/>
    <m/>
  </r>
  <r>
    <n v="40"/>
    <n v="1013127220"/>
    <n v="12"/>
    <s v="F"/>
    <n v="88"/>
    <n v="86"/>
    <n v="2"/>
    <n v="36"/>
    <n v="6"/>
    <n v="-16"/>
    <n v="5"/>
    <x v="1"/>
    <n v="2"/>
    <x v="1"/>
    <s v="P1NOB"/>
    <s v="Rotación Posterior, Clase I, Relación normal, Mordida abierta"/>
    <n v="2"/>
    <m/>
  </r>
  <r>
    <n v="41"/>
    <n v="1028789428"/>
    <n v="9"/>
    <s v="F"/>
    <n v="84"/>
    <n v="80"/>
    <n v="4"/>
    <n v="38"/>
    <n v="14"/>
    <n v="-6"/>
    <n v="-2"/>
    <x v="1"/>
    <n v="4"/>
    <x v="7"/>
    <s v="P2DDB"/>
    <s v="Rotación posterior, Clase II, Relación distal, Mordida profunda"/>
    <n v="1"/>
    <m/>
  </r>
  <r>
    <n v="42"/>
    <n v="1140922601"/>
    <n v="13"/>
    <s v="F "/>
    <n v="76"/>
    <n v="75"/>
    <n v="1"/>
    <n v="43"/>
    <n v="7"/>
    <n v="-1"/>
    <n v="7.5"/>
    <x v="1"/>
    <n v="1"/>
    <x v="1"/>
    <s v="P1NOB"/>
    <s v="Rotación Posterior, Clase I, Relación normal, Mordida abierta"/>
    <n v="2"/>
    <m/>
  </r>
  <r>
    <n v="43"/>
    <n v="1023951613"/>
    <n v="9"/>
    <s v="M"/>
    <n v="80"/>
    <n v="76"/>
    <n v="4"/>
    <n v="42"/>
    <n v="9"/>
    <n v="-2"/>
    <n v="5"/>
    <x v="1"/>
    <n v="4"/>
    <x v="1"/>
    <s v="P1NOB"/>
    <s v="Rotación Posterior, Clase I, Relación normal, Mordida abierta"/>
    <n v="2"/>
    <m/>
  </r>
  <r>
    <n v="44"/>
    <n v="1025546266"/>
    <n v="12"/>
    <s v="F "/>
    <n v="83"/>
    <n v="78"/>
    <n v="5"/>
    <n v="43"/>
    <n v="14"/>
    <n v="-7"/>
    <n v="0.5"/>
    <x v="1"/>
    <n v="5"/>
    <x v="5"/>
    <s v="P2DN"/>
    <s v="Rotación Posterior, Clase II, Relación distal, Mordida normal"/>
    <n v="1"/>
    <m/>
  </r>
  <r>
    <n v="45"/>
    <n v="1028498679"/>
    <n v="9"/>
    <s v="F "/>
    <n v="67"/>
    <n v="64"/>
    <n v="3"/>
    <n v="51"/>
    <n v="11"/>
    <n v="13"/>
    <n v="7.5"/>
    <x v="2"/>
    <n v="3"/>
    <x v="2"/>
    <s v="A1NOB"/>
    <s v="Rotación anterior, Clase I, Relación normal, Mordida abierta"/>
    <n v="5"/>
    <m/>
  </r>
  <r>
    <n v="46"/>
    <n v="1032799712"/>
    <n v="13"/>
    <s v="F "/>
    <n v="85"/>
    <n v="81"/>
    <n v="4"/>
    <n v="44"/>
    <n v="12"/>
    <n v="-14"/>
    <n v="3"/>
    <x v="1"/>
    <n v="4"/>
    <x v="5"/>
    <s v="P2DN"/>
    <s v="Rotación Posterior, Clase II, Relación distal, Mordida normal"/>
    <n v="1"/>
    <m/>
  </r>
  <r>
    <n v="47"/>
    <n v="1019766976"/>
    <n v="9"/>
    <s v="M"/>
    <n v="75"/>
    <n v="73"/>
    <n v="2"/>
    <n v="41"/>
    <n v="12"/>
    <n v="5"/>
    <n v="1.5"/>
    <x v="0"/>
    <n v="2"/>
    <x v="4"/>
    <s v="R1NN"/>
    <s v="Rotación neutra, Clase I, Relación normal, Mordida normal"/>
    <n v="4"/>
    <m/>
  </r>
  <r>
    <n v="48"/>
    <n v="1027402287"/>
    <n v="14"/>
    <s v="M"/>
    <n v="79"/>
    <n v="76"/>
    <n v="3"/>
    <n v="34"/>
    <n v="11"/>
    <n v="6"/>
    <n v="-1"/>
    <x v="0"/>
    <n v="3"/>
    <x v="3"/>
    <s v="R1NDB"/>
    <s v="Rotación neutra, Clase I, Relación normal, Mordida profunda"/>
    <n v="4"/>
    <m/>
  </r>
  <r>
    <n v="49"/>
    <n v="1028786179"/>
    <n v="14"/>
    <s v="F"/>
    <n v="78"/>
    <n v="82"/>
    <s v="(-4)"/>
    <n v="34"/>
    <n v="14"/>
    <n v="-6"/>
    <n v="-4"/>
    <x v="1"/>
    <n v="-4"/>
    <x v="7"/>
    <s v="P1MDB"/>
    <s v="Rotación Posterior, Clase I, Relación mesial, Mordida profunda"/>
    <n v="5"/>
    <m/>
  </r>
  <r>
    <n v="50"/>
    <n v="1028683894"/>
    <n v="7"/>
    <s v="F"/>
    <n v="80"/>
    <n v="76"/>
    <n v="4"/>
    <n v="44"/>
    <n v="10"/>
    <n v="-4"/>
    <n v="5"/>
    <x v="1"/>
    <n v="4"/>
    <x v="1"/>
    <s v="P1NOB"/>
    <s v="Rotación Posterior, Clase I, Relación normal, Mordida abierta"/>
    <n v="2"/>
    <m/>
  </r>
  <r>
    <n v="51"/>
    <n v="1014740128"/>
    <n v="12"/>
    <s v="F"/>
    <n v="82"/>
    <n v="80"/>
    <n v="2"/>
    <n v="46"/>
    <n v="16"/>
    <n v="-14"/>
    <n v="0"/>
    <x v="1"/>
    <n v="2"/>
    <x v="5"/>
    <s v="P1NN"/>
    <s v="Rotación Posterior, Clase I, Relación Normal, Mordida normal"/>
    <n v="2"/>
    <m/>
  </r>
  <r>
    <n v="52"/>
    <n v="1014596769"/>
    <n v="14"/>
    <s v="F "/>
    <n v="82"/>
    <n v="87"/>
    <n v="5"/>
    <n v="34"/>
    <n v="7"/>
    <n v="-16"/>
    <n v="3"/>
    <x v="1"/>
    <n v="5"/>
    <x v="1"/>
    <s v="A1DN"/>
    <s v="Rotación anterior, Clase I, Relación distal, Mordida normal"/>
    <n v="2"/>
    <m/>
  </r>
  <r>
    <n v="53"/>
    <n v="1029290305"/>
    <n v="9"/>
    <s v="F "/>
    <n v="85"/>
    <n v="78"/>
    <n v="7"/>
    <n v="34"/>
    <n v="6"/>
    <n v="2"/>
    <n v="1"/>
    <x v="0"/>
    <n v="7"/>
    <x v="0"/>
    <s v="R2DN"/>
    <s v="Rotación neutra, Clase II, Relación distal, Mordida normal"/>
    <n v="2"/>
    <m/>
  </r>
  <r>
    <n v="54"/>
    <n v="1027528232"/>
    <n v="13"/>
    <s v="M"/>
    <n v="84"/>
    <n v="80"/>
    <n v="4"/>
    <n v="35"/>
    <n v="8"/>
    <n v="3"/>
    <n v="5"/>
    <x v="0"/>
    <n v="4"/>
    <x v="0"/>
    <s v="R1NOB"/>
    <s v="Rotación neutra, Clase I, Relación normal, Mordida abierta"/>
    <n v="2"/>
    <m/>
  </r>
  <r>
    <n v="55"/>
    <n v="1034782323"/>
    <n v="9"/>
    <s v="F "/>
    <n v="79"/>
    <n v="75"/>
    <n v="4"/>
    <n v="31"/>
    <n v="7"/>
    <n v="11"/>
    <n v="7.5"/>
    <x v="2"/>
    <n v="7"/>
    <x v="2"/>
    <s v="A1DOB"/>
    <s v="Rotación anterior, Clase I, Relación normal, Mordida abierta"/>
    <n v="4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">
  <r>
    <x v="0"/>
    <x v="0"/>
  </r>
  <r>
    <x v="1"/>
    <x v="1"/>
  </r>
  <r>
    <x v="0"/>
    <x v="2"/>
  </r>
  <r>
    <x v="0"/>
    <x v="0"/>
  </r>
  <r>
    <x v="0"/>
    <x v="3"/>
  </r>
  <r>
    <x v="0"/>
    <x v="0"/>
  </r>
  <r>
    <x v="1"/>
    <x v="4"/>
  </r>
  <r>
    <x v="0"/>
    <x v="5"/>
  </r>
  <r>
    <x v="1"/>
    <x v="5"/>
  </r>
  <r>
    <x v="1"/>
    <x v="6"/>
  </r>
  <r>
    <x v="0"/>
    <x v="7"/>
  </r>
  <r>
    <x v="0"/>
    <x v="1"/>
  </r>
  <r>
    <x v="0"/>
    <x v="7"/>
  </r>
  <r>
    <x v="1"/>
    <x v="8"/>
  </r>
  <r>
    <x v="0"/>
    <x v="5"/>
  </r>
  <r>
    <x v="1"/>
    <x v="9"/>
  </r>
  <r>
    <x v="2"/>
    <x v="10"/>
  </r>
  <r>
    <x v="0"/>
    <x v="11"/>
  </r>
  <r>
    <x v="2"/>
    <x v="12"/>
  </r>
  <r>
    <x v="0"/>
    <x v="11"/>
  </r>
  <r>
    <x v="2"/>
    <x v="13"/>
  </r>
  <r>
    <x v="1"/>
    <x v="14"/>
  </r>
  <r>
    <x v="2"/>
    <x v="15"/>
  </r>
  <r>
    <x v="2"/>
    <x v="16"/>
  </r>
  <r>
    <x v="0"/>
    <x v="5"/>
  </r>
  <r>
    <x v="1"/>
    <x v="6"/>
  </r>
  <r>
    <x v="0"/>
    <x v="5"/>
  </r>
  <r>
    <x v="1"/>
    <x v="6"/>
  </r>
  <r>
    <x v="0"/>
    <x v="0"/>
  </r>
  <r>
    <x v="0"/>
    <x v="1"/>
  </r>
  <r>
    <x v="1"/>
    <x v="12"/>
  </r>
  <r>
    <x v="1"/>
    <x v="15"/>
  </r>
  <r>
    <x v="2"/>
    <x v="17"/>
  </r>
  <r>
    <x v="0"/>
    <x v="18"/>
  </r>
  <r>
    <x v="1"/>
    <x v="9"/>
  </r>
  <r>
    <x v="1"/>
    <x v="8"/>
  </r>
  <r>
    <x v="0"/>
    <x v="5"/>
  </r>
  <r>
    <x v="1"/>
    <x v="8"/>
  </r>
  <r>
    <x v="0"/>
    <x v="5"/>
  </r>
  <r>
    <x v="0"/>
    <x v="5"/>
  </r>
  <r>
    <x v="2"/>
    <x v="10"/>
  </r>
  <r>
    <x v="0"/>
    <x v="5"/>
  </r>
  <r>
    <x v="0"/>
    <x v="5"/>
  </r>
  <r>
    <x v="1"/>
    <x v="8"/>
  </r>
  <r>
    <x v="0"/>
    <x v="11"/>
  </r>
  <r>
    <x v="1"/>
    <x v="8"/>
  </r>
  <r>
    <x v="2"/>
    <x v="19"/>
  </r>
  <r>
    <x v="2"/>
    <x v="20"/>
  </r>
  <r>
    <x v="2"/>
    <x v="21"/>
  </r>
  <r>
    <x v="0"/>
    <x v="5"/>
  </r>
  <r>
    <x v="2"/>
    <x v="17"/>
  </r>
  <r>
    <x v="1"/>
    <x v="9"/>
  </r>
  <r>
    <x v="1"/>
    <x v="6"/>
  </r>
  <r>
    <x v="0"/>
    <x v="0"/>
  </r>
  <r>
    <x v="0"/>
    <x v="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0E32E6-E33A-4074-A2BC-AC5162ABB8F3}" name="TablaDiná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EV2:EZ26" firstHeaderRow="1" firstDataRow="2" firstDataCol="1"/>
  <pivotFields count="2">
    <pivotField axis="axisCol" showAll="0">
      <items count="4">
        <item x="0"/>
        <item x="1"/>
        <item x="2"/>
        <item t="default"/>
      </items>
    </pivotField>
    <pivotField axis="axisRow" dataField="1" showAll="0">
      <items count="23">
        <item x="15"/>
        <item x="9"/>
        <item x="18"/>
        <item x="12"/>
        <item x="11"/>
        <item x="14"/>
        <item x="13"/>
        <item x="2"/>
        <item x="21"/>
        <item x="7"/>
        <item x="16"/>
        <item x="17"/>
        <item x="5"/>
        <item x="10"/>
        <item x="8"/>
        <item x="1"/>
        <item x="20"/>
        <item x="19"/>
        <item x="0"/>
        <item x="4"/>
        <item x="6"/>
        <item x="3"/>
        <item t="default"/>
      </items>
    </pivotField>
  </pivotFields>
  <rowFields count="1">
    <field x="1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Cuenta de DIAGNÓSTICO DE TIPO ROTACIONAL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0A2F1F-9DEA-4203-A35A-2777A59CA7C0}" name="TablaDiná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E14" firstHeaderRow="1" firstDataRow="2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dataField="1" showAll="0">
      <items count="10">
        <item x="2"/>
        <item x="6"/>
        <item x="8"/>
        <item x="0"/>
        <item x="4"/>
        <item x="3"/>
        <item x="1"/>
        <item x="5"/>
        <item x="7"/>
        <item t="default"/>
      </items>
    </pivotField>
    <pivotField showAll="0"/>
    <pivotField showAll="0"/>
    <pivotField showAll="0"/>
    <pivotField showAll="0"/>
  </pivotFields>
  <rowFields count="1">
    <field x="1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11"/>
  </colFields>
  <colItems count="4">
    <i>
      <x/>
    </i>
    <i>
      <x v="1"/>
    </i>
    <i>
      <x v="2"/>
    </i>
    <i t="grand">
      <x/>
    </i>
  </colItems>
  <dataFields count="1">
    <dataField name="Cuenta de DX T3" fld="1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7D7BC7-BC86-481E-8F67-4073CC2D98A2}" name="TablaDinámica1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5" rowHeaderCaption="TIPO ROTACIONAL">
  <location ref="Y3:AA17" firstHeaderRow="1" firstDataRow="2" firstDataCol="1"/>
  <pivotFields count="3">
    <pivotField axis="axisRow" allDrilled="1" subtotalTop="0" showAll="0" dataSourceSort="1" defaultSubtotal="0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2">
        <item s="1" x="0"/>
        <item x="1"/>
      </items>
    </pivotField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2"/>
  </colFields>
  <colItems count="2">
    <i>
      <x/>
    </i>
    <i t="grand">
      <x/>
    </i>
  </colItems>
  <dataFields count="1">
    <dataField name="CANTIDAD DE PACIENTES" fld="1" subtotal="count" baseField="0" baseItem="0"/>
  </dataFields>
  <chartFormats count="30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0" format="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8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8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0" format="10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</references>
      </pivotArea>
    </chartFormat>
    <chartFormat chart="20" format="11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0"/>
          </reference>
        </references>
      </pivotArea>
    </chartFormat>
    <chartFormat chart="20" format="1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0"/>
          </reference>
        </references>
      </pivotArea>
    </chartFormat>
    <chartFormat chart="20" format="13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2" count="1" selected="0">
            <x v="0"/>
          </reference>
        </references>
      </pivotArea>
    </chartFormat>
    <chartFormat chart="20" format="14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0"/>
          </reference>
        </references>
      </pivotArea>
    </chartFormat>
    <chartFormat chart="20" format="15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0"/>
          </reference>
        </references>
      </pivotArea>
    </chartFormat>
    <chartFormat chart="20" format="16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2" count="1" selected="0">
            <x v="0"/>
          </reference>
        </references>
      </pivotArea>
    </chartFormat>
    <chartFormat chart="20" format="17">
      <pivotArea type="data" outline="0" fieldPosition="0">
        <references count="3">
          <reference field="4294967294" count="1" selected="0">
            <x v="0"/>
          </reference>
          <reference field="0" count="1" selected="0">
            <x v="7"/>
          </reference>
          <reference field="2" count="1" selected="0">
            <x v="0"/>
          </reference>
        </references>
      </pivotArea>
    </chartFormat>
    <chartFormat chart="20" format="18">
      <pivotArea type="data" outline="0" fieldPosition="0">
        <references count="3">
          <reference field="4294967294" count="1" selected="0">
            <x v="0"/>
          </reference>
          <reference field="0" count="1" selected="0">
            <x v="8"/>
          </reference>
          <reference field="2" count="1" selected="0">
            <x v="0"/>
          </reference>
        </references>
      </pivotArea>
    </chartFormat>
    <chartFormat chart="20" format="19">
      <pivotArea type="data" outline="0" fieldPosition="0">
        <references count="3">
          <reference field="4294967294" count="1" selected="0">
            <x v="0"/>
          </reference>
          <reference field="0" count="1" selected="0">
            <x v="9"/>
          </reference>
          <reference field="2" count="1" selected="0">
            <x v="0"/>
          </reference>
        </references>
      </pivotArea>
    </chartFormat>
    <chartFormat chart="20" format="20">
      <pivotArea type="data" outline="0" fieldPosition="0">
        <references count="3">
          <reference field="4294967294" count="1" selected="0">
            <x v="0"/>
          </reference>
          <reference field="0" count="1" selected="0">
            <x v="10"/>
          </reference>
          <reference field="2" count="1" selected="0">
            <x v="0"/>
          </reference>
        </references>
      </pivotArea>
    </chartFormat>
    <chartFormat chart="20" format="21">
      <pivotArea type="data" outline="0" fieldPosition="0">
        <references count="3">
          <reference field="4294967294" count="1" selected="0">
            <x v="0"/>
          </reference>
          <reference field="0" count="1" selected="0">
            <x v="11"/>
          </reference>
          <reference field="2" count="1" selected="0">
            <x v="0"/>
          </reference>
        </references>
      </pivotArea>
    </chartFormat>
    <chartFormat chart="28" format="2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2" count="1" selected="0">
            <x v="0"/>
          </reference>
        </references>
      </pivotArea>
    </chartFormat>
    <chartFormat chart="28" format="3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2" count="1" selected="0">
            <x v="0"/>
          </reference>
        </references>
      </pivotArea>
    </chartFormat>
    <chartFormat chart="28" format="4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0"/>
          </reference>
        </references>
      </pivotArea>
    </chartFormat>
    <chartFormat chart="28" format="5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2" count="1" selected="0">
            <x v="0"/>
          </reference>
        </references>
      </pivotArea>
    </chartFormat>
    <chartFormat chart="28" format="6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0"/>
          </reference>
        </references>
      </pivotArea>
    </chartFormat>
    <chartFormat chart="28" format="7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0"/>
          </reference>
        </references>
      </pivotArea>
    </chartFormat>
    <chartFormat chart="28" format="8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2" count="1" selected="0">
            <x v="0"/>
          </reference>
        </references>
      </pivotArea>
    </chartFormat>
    <chartFormat chart="28" format="9">
      <pivotArea type="data" outline="0" fieldPosition="0">
        <references count="3">
          <reference field="4294967294" count="1" selected="0">
            <x v="0"/>
          </reference>
          <reference field="0" count="1" selected="0">
            <x v="7"/>
          </reference>
          <reference field="2" count="1" selected="0">
            <x v="0"/>
          </reference>
        </references>
      </pivotArea>
    </chartFormat>
    <chartFormat chart="28" format="10">
      <pivotArea type="data" outline="0" fieldPosition="0">
        <references count="3">
          <reference field="4294967294" count="1" selected="0">
            <x v="0"/>
          </reference>
          <reference field="0" count="1" selected="0">
            <x v="8"/>
          </reference>
          <reference field="2" count="1" selected="0">
            <x v="0"/>
          </reference>
        </references>
      </pivotArea>
    </chartFormat>
    <chartFormat chart="28" format="11">
      <pivotArea type="data" outline="0" fieldPosition="0">
        <references count="3">
          <reference field="4294967294" count="1" selected="0">
            <x v="0"/>
          </reference>
          <reference field="0" count="1" selected="0">
            <x v="9"/>
          </reference>
          <reference field="2" count="1" selected="0">
            <x v="0"/>
          </reference>
        </references>
      </pivotArea>
    </chartFormat>
    <chartFormat chart="28" format="12">
      <pivotArea type="data" outline="0" fieldPosition="0">
        <references count="3">
          <reference field="4294967294" count="1" selected="0">
            <x v="0"/>
          </reference>
          <reference field="0" count="1" selected="0">
            <x v="10"/>
          </reference>
          <reference field="2" count="1" selected="0">
            <x v="0"/>
          </reference>
        </references>
      </pivotArea>
    </chartFormat>
    <chartFormat chart="28" format="13">
      <pivotArea type="data" outline="0" fieldPosition="0">
        <references count="3">
          <reference field="4294967294" count="1" selected="0">
            <x v="0"/>
          </reference>
          <reference field="0" count="1" selected="0">
            <x v="11"/>
          </reference>
          <reference field="2" count="1" selected="0">
            <x v="0"/>
          </reference>
        </references>
      </pivotArea>
    </chartFormat>
  </chartFormats>
  <pivotHierarchies count="7"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CANTIDAD DE PACIENTES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Base de datos pacientes Lavergne y Petrovic.xlsx!Tabla2">
        <x15:activeTabTopLevelEntity name="[Tabla2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D19E51-DBFA-4291-8B53-5D7018AA5962}" name="TablaDinámica7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Q2:R12" firstHeaderRow="1" firstDataRow="1" firstDataCol="1"/>
  <pivotFields count="2">
    <pivotField axis="axisRow" showAll="0">
      <items count="10">
        <item x="5"/>
        <item x="6"/>
        <item x="3"/>
        <item x="0"/>
        <item x="1"/>
        <item x="4"/>
        <item x="2"/>
        <item x="8"/>
        <item x="7"/>
        <item t="default"/>
      </items>
    </pivotField>
    <pivotField dataField="1"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uenta de SEXO 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C12AB3-E25E-45BD-815A-EAADF41BAA5E}" name="TablaDinámica6" cacheId="1" applyNumberFormats="0" applyBorderFormats="0" applyFontFormats="0" applyPatternFormats="0" applyAlignmentFormats="0" applyWidthHeightFormats="1" dataCaption="Valores" grandTotalCaption="TOTAL" updatedVersion="8" minRefreshableVersion="3" useAutoFormatting="1" itemPrintTitles="1" createdVersion="8" indent="0" outline="1" outlineData="1" multipleFieldFilters="0" chartFormat="27" rowHeaderCaption="EDAD">
  <location ref="G2:H12" firstHeaderRow="1" firstDataRow="1" firstDataCol="1"/>
  <pivotFields count="2">
    <pivotField axis="axisRow" showAll="0">
      <items count="10">
        <item x="5"/>
        <item x="6"/>
        <item x="3"/>
        <item x="0"/>
        <item x="1"/>
        <item x="4"/>
        <item x="2"/>
        <item x="8"/>
        <item x="7"/>
        <item t="default"/>
      </items>
    </pivotField>
    <pivotField dataField="1" showAll="0">
      <items count="4">
        <item n="FEMENINO" x="0"/>
        <item m="1" x="2"/>
        <item n="MASCULINO" x="1"/>
        <item t="default"/>
      </items>
    </pivotField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uenta de SEXO " fld="1" subtotal="count" baseField="0" baseItem="0"/>
  </dataFields>
  <formats count="5">
    <format dxfId="11">
      <pivotArea dataOnly="0" labelOnly="1" outline="0" axis="axisValues" fieldPosition="0"/>
    </format>
    <format dxfId="10">
      <pivotArea field="0" type="button" dataOnly="0" labelOnly="1" outline="0" axis="axisRow" fieldPosition="0"/>
    </format>
    <format dxfId="9">
      <pivotArea dataOnly="0" labelOnly="1" outline="0" axis="axisValues" fieldPosition="0"/>
    </format>
    <format dxfId="8">
      <pivotArea field="0" type="button" dataOnly="0" labelOnly="1" outline="0" axis="axisRow" fieldPosition="0"/>
    </format>
    <format dxfId="7">
      <pivotArea dataOnly="0" labelOnly="1" outline="0" axis="axisValues" fieldPosition="0"/>
    </format>
  </formats>
  <chartFormats count="19">
    <chartFormat chart="0" format="4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18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8" format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18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18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18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18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18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18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18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18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7568D9-C049-4167-B19E-D19F57834DA2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1" rowHeaderCaption="SEXO">
  <location ref="D2:E5" firstHeaderRow="1" firstDataRow="1" firstDataCol="1"/>
  <pivotFields count="2">
    <pivotField showAll="0">
      <items count="10">
        <item x="5"/>
        <item x="6"/>
        <item x="3"/>
        <item x="0"/>
        <item x="1"/>
        <item x="4"/>
        <item x="2"/>
        <item x="8"/>
        <item x="7"/>
        <item t="default"/>
      </items>
    </pivotField>
    <pivotField axis="axisRow" dataField="1" showAll="0">
      <items count="4">
        <item x="0"/>
        <item m="1" x="2"/>
        <item x="1"/>
        <item t="default"/>
      </items>
    </pivotField>
  </pivotFields>
  <rowFields count="1">
    <field x="1"/>
  </rowFields>
  <rowItems count="3">
    <i>
      <x/>
    </i>
    <i>
      <x v="2"/>
    </i>
    <i t="grand">
      <x/>
    </i>
  </rowItems>
  <colItems count="1">
    <i/>
  </colItems>
  <dataFields count="1">
    <dataField name="CANTIDAD DE PACIENTES" fld="1" subtotal="count" baseField="0" baseItem="0"/>
  </dataFields>
  <formats count="5">
    <format dxfId="16">
      <pivotArea field="1" type="button" dataOnly="0" labelOnly="1" outline="0" axis="axisRow" fieldPosition="0"/>
    </format>
    <format dxfId="15">
      <pivotArea dataOnly="0" labelOnly="1" outline="0" axis="axisValues" fieldPosition="0"/>
    </format>
    <format dxfId="14">
      <pivotArea field="1" type="button" dataOnly="0" labelOnly="1" outline="0" axis="axisRow" fieldPosition="0"/>
    </format>
    <format dxfId="13">
      <pivotArea dataOnly="0" labelOnly="1" outline="0" axis="axisValues" fieldPosition="0"/>
    </format>
    <format dxfId="12">
      <pivotArea dataOnly="0" outline="0" axis="axisValues" fieldPosition="0"/>
    </format>
  </formats>
  <chartFormats count="3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4" format="2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3036BF-461B-447A-AA56-F78DC19F3DC2}" name="Tabla2" displayName="Tabla2" ref="A1:C56" totalsRowShown="0" headerRowDxfId="6" dataDxfId="4" headerRowBorderDxfId="5" tableBorderDxfId="3">
  <autoFilter ref="A1:C56" xr:uid="{803036BF-461B-447A-AA56-F78DC19F3DC2}"/>
  <tableColumns count="3">
    <tableColumn id="1" xr3:uid="{C725CF22-FCA8-4615-BF18-8AE5A3B5153A}" name="EDAD " dataDxfId="2"/>
    <tableColumn id="2" xr3:uid="{1055F063-2658-4F3A-AB1F-EB22AB34EEF7}" name="SEXO " dataDxfId="1"/>
    <tableColumn id="3" xr3:uid="{7B7573B5-286E-44CB-8BFC-046D6C87A3F9}" name="DIAGNÓSTICO DE TIPO ROTACIONAL" dataDxfId="0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5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6" Type="http://schemas.openxmlformats.org/officeDocument/2006/relationships/table" Target="../tables/table1.xml"/><Relationship Id="rId5" Type="http://schemas.openxmlformats.org/officeDocument/2006/relationships/drawing" Target="../drawings/drawing6.xml"/><Relationship Id="rId4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E434E-270F-4D80-8805-89E62989D652}">
  <dimension ref="A1"/>
  <sheetViews>
    <sheetView workbookViewId="0">
      <selection activeCell="L18" sqref="L18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F4C9A-7FF5-482C-A028-84788FDD147D}">
  <dimension ref="A1:F10"/>
  <sheetViews>
    <sheetView topLeftCell="B1" zoomScale="70" zoomScaleNormal="70" workbookViewId="0">
      <selection activeCell="G29" sqref="G29"/>
    </sheetView>
  </sheetViews>
  <sheetFormatPr baseColWidth="10" defaultRowHeight="15" x14ac:dyDescent="0.25"/>
  <cols>
    <col min="1" max="1" width="71.28515625" bestFit="1" customWidth="1"/>
    <col min="3" max="3" width="12.140625" bestFit="1" customWidth="1"/>
    <col min="4" max="4" width="12" bestFit="1" customWidth="1"/>
  </cols>
  <sheetData>
    <row r="1" spans="1:6" x14ac:dyDescent="0.25">
      <c r="A1" t="s">
        <v>328</v>
      </c>
      <c r="C1" t="s">
        <v>249</v>
      </c>
      <c r="D1">
        <v>1</v>
      </c>
      <c r="E1">
        <v>2</v>
      </c>
      <c r="F1">
        <v>3</v>
      </c>
    </row>
    <row r="2" spans="1:6" x14ac:dyDescent="0.25">
      <c r="A2" t="s">
        <v>329</v>
      </c>
      <c r="C2" t="s">
        <v>254</v>
      </c>
      <c r="D2" s="58">
        <v>6.2368421052631575</v>
      </c>
      <c r="E2" s="59">
        <v>-16.100000000000001</v>
      </c>
      <c r="F2" s="60">
        <v>-3.6923076923076925</v>
      </c>
    </row>
    <row r="3" spans="1:6" x14ac:dyDescent="0.25">
      <c r="A3" t="s">
        <v>324</v>
      </c>
      <c r="C3" t="s">
        <v>255</v>
      </c>
      <c r="D3" s="61">
        <v>4.0526315789473681</v>
      </c>
      <c r="E3">
        <v>4.8499999999999996</v>
      </c>
      <c r="F3" s="62">
        <v>2.2307692307692308</v>
      </c>
    </row>
    <row r="4" spans="1:6" x14ac:dyDescent="0.25">
      <c r="A4" t="s">
        <v>325</v>
      </c>
      <c r="C4" t="s">
        <v>256</v>
      </c>
      <c r="D4" s="63">
        <v>3.8421052631578947</v>
      </c>
      <c r="E4" s="64">
        <v>2.1</v>
      </c>
      <c r="F4" s="65">
        <v>3.6538461538461537</v>
      </c>
    </row>
    <row r="5" spans="1:6" x14ac:dyDescent="0.25">
      <c r="A5" t="s">
        <v>326</v>
      </c>
      <c r="C5" t="s">
        <v>250</v>
      </c>
      <c r="D5" s="71">
        <v>3</v>
      </c>
    </row>
    <row r="6" spans="1:6" x14ac:dyDescent="0.25">
      <c r="A6" t="s">
        <v>327</v>
      </c>
      <c r="C6" t="s">
        <v>251</v>
      </c>
      <c r="D6" s="71">
        <v>2</v>
      </c>
    </row>
    <row r="7" spans="1:6" x14ac:dyDescent="0.25">
      <c r="C7" t="s">
        <v>252</v>
      </c>
      <c r="D7" s="73" t="s">
        <v>253</v>
      </c>
    </row>
    <row r="8" spans="1:6" x14ac:dyDescent="0.25">
      <c r="C8" t="s">
        <v>258</v>
      </c>
      <c r="D8" s="71">
        <v>200</v>
      </c>
    </row>
    <row r="9" spans="1:6" x14ac:dyDescent="0.25">
      <c r="C9" t="s">
        <v>259</v>
      </c>
      <c r="D9" s="71" t="b">
        <v>1</v>
      </c>
    </row>
    <row r="10" spans="1:6" x14ac:dyDescent="0.25">
      <c r="C10" t="s">
        <v>260</v>
      </c>
      <c r="D10" s="71">
        <v>1418.5213562753042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8163-2423-4F07-B95C-DB14BC0A199B}">
  <dimension ref="A1:C56"/>
  <sheetViews>
    <sheetView workbookViewId="0">
      <selection activeCell="E12" sqref="E12"/>
    </sheetView>
  </sheetViews>
  <sheetFormatPr baseColWidth="10" defaultRowHeight="15" x14ac:dyDescent="0.25"/>
  <sheetData>
    <row r="1" spans="1:3" x14ac:dyDescent="0.25">
      <c r="A1" s="45" t="s">
        <v>130</v>
      </c>
      <c r="B1" s="45" t="s">
        <v>131</v>
      </c>
      <c r="C1" s="45" t="s">
        <v>133</v>
      </c>
    </row>
    <row r="2" spans="1:3" x14ac:dyDescent="0.25">
      <c r="A2" s="42">
        <v>5</v>
      </c>
      <c r="B2" s="42">
        <v>9.5</v>
      </c>
      <c r="C2" s="42">
        <v>2</v>
      </c>
    </row>
    <row r="3" spans="1:3" x14ac:dyDescent="0.25">
      <c r="A3" s="42">
        <v>-5</v>
      </c>
      <c r="B3" s="42">
        <v>3.5</v>
      </c>
      <c r="C3" s="42">
        <v>6</v>
      </c>
    </row>
    <row r="4" spans="1:3" x14ac:dyDescent="0.25">
      <c r="A4" s="10">
        <v>7</v>
      </c>
      <c r="B4" s="10">
        <v>8.5</v>
      </c>
      <c r="C4" s="10">
        <v>1</v>
      </c>
    </row>
    <row r="5" spans="1:3" x14ac:dyDescent="0.25">
      <c r="A5" s="10">
        <v>5</v>
      </c>
      <c r="B5" s="10">
        <v>5.5</v>
      </c>
      <c r="C5" s="10">
        <v>3</v>
      </c>
    </row>
    <row r="6" spans="1:3" x14ac:dyDescent="0.25">
      <c r="A6" s="42">
        <v>2</v>
      </c>
      <c r="B6" s="42">
        <v>5</v>
      </c>
      <c r="C6" s="42">
        <v>6</v>
      </c>
    </row>
    <row r="7" spans="1:3" x14ac:dyDescent="0.25">
      <c r="A7" s="42">
        <v>3</v>
      </c>
      <c r="B7" s="42">
        <v>3.5</v>
      </c>
      <c r="C7" s="42">
        <v>3</v>
      </c>
    </row>
    <row r="8" spans="1:3" x14ac:dyDescent="0.25">
      <c r="A8" s="42">
        <v>4</v>
      </c>
      <c r="B8" s="42">
        <v>-1</v>
      </c>
      <c r="C8" s="42">
        <v>6</v>
      </c>
    </row>
    <row r="9" spans="1:3" x14ac:dyDescent="0.25">
      <c r="A9" s="42">
        <v>-6</v>
      </c>
      <c r="B9" s="42">
        <v>5</v>
      </c>
      <c r="C9" s="42">
        <v>5</v>
      </c>
    </row>
    <row r="10" spans="1:3" x14ac:dyDescent="0.25">
      <c r="A10" s="10">
        <v>-2</v>
      </c>
      <c r="B10" s="10">
        <v>4</v>
      </c>
      <c r="C10" s="10">
        <v>5</v>
      </c>
    </row>
    <row r="11" spans="1:3" x14ac:dyDescent="0.25">
      <c r="A11" s="10">
        <v>0</v>
      </c>
      <c r="B11" s="10">
        <v>2</v>
      </c>
      <c r="C11" s="10">
        <v>5</v>
      </c>
    </row>
    <row r="12" spans="1:3" x14ac:dyDescent="0.25">
      <c r="A12" s="42">
        <v>-14</v>
      </c>
      <c r="B12" s="42">
        <v>10</v>
      </c>
      <c r="C12" s="42">
        <v>-4</v>
      </c>
    </row>
    <row r="13" spans="1:3" x14ac:dyDescent="0.25">
      <c r="A13" s="42">
        <v>-3</v>
      </c>
      <c r="B13" s="42">
        <v>6.5</v>
      </c>
      <c r="C13" s="42">
        <v>6</v>
      </c>
    </row>
    <row r="14" spans="1:3" x14ac:dyDescent="0.25">
      <c r="A14" s="42">
        <v>-14</v>
      </c>
      <c r="B14" s="42">
        <v>6</v>
      </c>
      <c r="C14" s="42">
        <v>-1</v>
      </c>
    </row>
    <row r="15" spans="1:3" x14ac:dyDescent="0.25">
      <c r="A15" s="42">
        <v>-3</v>
      </c>
      <c r="B15" s="42">
        <v>2.5</v>
      </c>
      <c r="C15" s="42">
        <v>4</v>
      </c>
    </row>
    <row r="16" spans="1:3" x14ac:dyDescent="0.25">
      <c r="A16" s="42">
        <v>-14</v>
      </c>
      <c r="B16" s="42">
        <v>6</v>
      </c>
      <c r="C16" s="42">
        <v>3</v>
      </c>
    </row>
    <row r="17" spans="1:3" x14ac:dyDescent="0.25">
      <c r="A17" s="42">
        <v>-8</v>
      </c>
      <c r="B17" s="42">
        <v>3</v>
      </c>
      <c r="C17" s="42">
        <v>5</v>
      </c>
    </row>
    <row r="18" spans="1:3" x14ac:dyDescent="0.25">
      <c r="A18" s="42">
        <v>-4</v>
      </c>
      <c r="B18" s="42">
        <v>-3</v>
      </c>
      <c r="C18" s="42">
        <v>3</v>
      </c>
    </row>
    <row r="19" spans="1:3" x14ac:dyDescent="0.25">
      <c r="A19" s="10">
        <v>-8</v>
      </c>
      <c r="B19" s="10">
        <v>4</v>
      </c>
      <c r="C19" s="10">
        <v>2</v>
      </c>
    </row>
    <row r="20" spans="1:3" x14ac:dyDescent="0.25">
      <c r="A20" s="10">
        <v>-1</v>
      </c>
      <c r="B20" s="10">
        <v>2.5</v>
      </c>
      <c r="C20" s="10">
        <v>1</v>
      </c>
    </row>
    <row r="21" spans="1:3" x14ac:dyDescent="0.25">
      <c r="A21" s="10">
        <v>-2</v>
      </c>
      <c r="B21" s="10">
        <v>5</v>
      </c>
      <c r="C21" s="10">
        <v>3</v>
      </c>
    </row>
    <row r="22" spans="1:3" x14ac:dyDescent="0.25">
      <c r="A22" s="10">
        <v>3</v>
      </c>
      <c r="B22" s="10">
        <v>1.5</v>
      </c>
      <c r="C22" s="10">
        <v>-1</v>
      </c>
    </row>
    <row r="23" spans="1:3" x14ac:dyDescent="0.25">
      <c r="A23" s="10">
        <v>-1</v>
      </c>
      <c r="B23" s="10">
        <v>-1.5</v>
      </c>
      <c r="C23" s="10">
        <v>7</v>
      </c>
    </row>
    <row r="24" spans="1:3" x14ac:dyDescent="0.25">
      <c r="A24" s="10">
        <v>-3</v>
      </c>
      <c r="B24" s="10">
        <v>-1.5</v>
      </c>
      <c r="C24" s="10">
        <v>4</v>
      </c>
    </row>
    <row r="25" spans="1:3" x14ac:dyDescent="0.25">
      <c r="A25" s="10">
        <v>-25</v>
      </c>
      <c r="B25" s="10">
        <v>-0.5</v>
      </c>
      <c r="C25" s="10">
        <v>2</v>
      </c>
    </row>
    <row r="26" spans="1:3" x14ac:dyDescent="0.25">
      <c r="A26" s="10">
        <v>7.5</v>
      </c>
      <c r="B26" s="10">
        <v>10</v>
      </c>
      <c r="C26" s="10">
        <v>3</v>
      </c>
    </row>
    <row r="27" spans="1:3" x14ac:dyDescent="0.25">
      <c r="A27" s="42">
        <v>0</v>
      </c>
      <c r="B27" s="42">
        <v>2</v>
      </c>
      <c r="C27" s="42">
        <v>5</v>
      </c>
    </row>
    <row r="28" spans="1:3" x14ac:dyDescent="0.25">
      <c r="A28" s="42">
        <v>-9</v>
      </c>
      <c r="B28" s="42">
        <v>3.5</v>
      </c>
      <c r="C28" s="42">
        <v>2</v>
      </c>
    </row>
    <row r="29" spans="1:3" x14ac:dyDescent="0.25">
      <c r="A29" s="42">
        <v>1</v>
      </c>
      <c r="B29" s="42">
        <v>2.5</v>
      </c>
      <c r="C29" s="42">
        <v>6</v>
      </c>
    </row>
    <row r="30" spans="1:3" x14ac:dyDescent="0.25">
      <c r="A30" s="10">
        <v>3</v>
      </c>
      <c r="B30" s="10">
        <v>5.5</v>
      </c>
      <c r="C30" s="10">
        <v>5</v>
      </c>
    </row>
    <row r="31" spans="1:3" x14ac:dyDescent="0.25">
      <c r="A31" s="10">
        <v>-12</v>
      </c>
      <c r="B31" s="10">
        <v>8</v>
      </c>
      <c r="C31" s="10">
        <v>7</v>
      </c>
    </row>
    <row r="32" spans="1:3" x14ac:dyDescent="0.25">
      <c r="A32" s="10">
        <v>9</v>
      </c>
      <c r="B32" s="10">
        <v>1.5</v>
      </c>
      <c r="C32" s="10">
        <v>3</v>
      </c>
    </row>
    <row r="33" spans="1:3" x14ac:dyDescent="0.25">
      <c r="A33" s="10">
        <v>12</v>
      </c>
      <c r="B33" s="10">
        <v>-2</v>
      </c>
      <c r="C33" s="10">
        <v>5</v>
      </c>
    </row>
    <row r="34" spans="1:3" x14ac:dyDescent="0.25">
      <c r="A34" s="10">
        <v>-5</v>
      </c>
      <c r="B34" s="10">
        <v>0.5</v>
      </c>
      <c r="C34" s="10">
        <v>2</v>
      </c>
    </row>
    <row r="35" spans="1:3" x14ac:dyDescent="0.25">
      <c r="A35" s="10">
        <v>11</v>
      </c>
      <c r="B35" s="10">
        <v>5.5</v>
      </c>
      <c r="C35" s="10">
        <v>6</v>
      </c>
    </row>
    <row r="36" spans="1:3" x14ac:dyDescent="0.25">
      <c r="A36" s="10">
        <v>7</v>
      </c>
      <c r="B36" s="10">
        <v>2.5</v>
      </c>
      <c r="C36" s="10">
        <v>5</v>
      </c>
    </row>
    <row r="37" spans="1:3" x14ac:dyDescent="0.25">
      <c r="A37" s="42">
        <v>-2</v>
      </c>
      <c r="B37" s="42">
        <v>0</v>
      </c>
      <c r="C37" s="42">
        <v>4</v>
      </c>
    </row>
    <row r="38" spans="1:3" x14ac:dyDescent="0.25">
      <c r="A38" s="42">
        <v>-22</v>
      </c>
      <c r="B38" s="42">
        <v>8</v>
      </c>
      <c r="C38" s="42">
        <v>1</v>
      </c>
    </row>
    <row r="39" spans="1:3" x14ac:dyDescent="0.25">
      <c r="A39" s="42">
        <v>-2</v>
      </c>
      <c r="B39" s="42">
        <v>1</v>
      </c>
      <c r="C39" s="42">
        <v>4</v>
      </c>
    </row>
    <row r="40" spans="1:3" x14ac:dyDescent="0.25">
      <c r="A40" s="42">
        <v>-7</v>
      </c>
      <c r="B40" s="42">
        <v>4.5</v>
      </c>
      <c r="C40" s="42">
        <v>2</v>
      </c>
    </row>
    <row r="41" spans="1:3" x14ac:dyDescent="0.25">
      <c r="A41" s="42">
        <v>-16</v>
      </c>
      <c r="B41" s="42">
        <v>5</v>
      </c>
      <c r="C41" s="42">
        <v>2</v>
      </c>
    </row>
    <row r="42" spans="1:3" x14ac:dyDescent="0.25">
      <c r="A42" s="42">
        <v>-6</v>
      </c>
      <c r="B42" s="42">
        <v>-2</v>
      </c>
      <c r="C42" s="42">
        <v>4</v>
      </c>
    </row>
    <row r="43" spans="1:3" x14ac:dyDescent="0.25">
      <c r="A43" s="42">
        <v>-1</v>
      </c>
      <c r="B43" s="42">
        <v>7.5</v>
      </c>
      <c r="C43" s="42">
        <v>1</v>
      </c>
    </row>
    <row r="44" spans="1:3" x14ac:dyDescent="0.25">
      <c r="A44" s="42">
        <v>-2</v>
      </c>
      <c r="B44" s="42">
        <v>5</v>
      </c>
      <c r="C44" s="42">
        <v>4</v>
      </c>
    </row>
    <row r="45" spans="1:3" x14ac:dyDescent="0.25">
      <c r="A45" s="42">
        <v>-7</v>
      </c>
      <c r="B45" s="42">
        <v>0.5</v>
      </c>
      <c r="C45" s="42">
        <v>5</v>
      </c>
    </row>
    <row r="46" spans="1:3" x14ac:dyDescent="0.25">
      <c r="A46" s="42">
        <v>13</v>
      </c>
      <c r="B46" s="42">
        <v>7.5</v>
      </c>
      <c r="C46" s="42">
        <v>3</v>
      </c>
    </row>
    <row r="47" spans="1:3" x14ac:dyDescent="0.25">
      <c r="A47" s="42">
        <v>-14</v>
      </c>
      <c r="B47" s="42">
        <v>3</v>
      </c>
      <c r="C47" s="42">
        <v>4</v>
      </c>
    </row>
    <row r="48" spans="1:3" x14ac:dyDescent="0.25">
      <c r="A48" s="42">
        <v>5</v>
      </c>
      <c r="B48" s="42">
        <v>1.5</v>
      </c>
      <c r="C48" s="42">
        <v>2</v>
      </c>
    </row>
    <row r="49" spans="1:3" x14ac:dyDescent="0.25">
      <c r="A49" s="42">
        <v>6</v>
      </c>
      <c r="B49" s="42">
        <v>-1</v>
      </c>
      <c r="C49" s="42">
        <v>3</v>
      </c>
    </row>
    <row r="50" spans="1:3" x14ac:dyDescent="0.25">
      <c r="A50" s="42">
        <v>-6</v>
      </c>
      <c r="B50" s="42">
        <v>-4</v>
      </c>
      <c r="C50" s="42">
        <v>-4</v>
      </c>
    </row>
    <row r="51" spans="1:3" x14ac:dyDescent="0.25">
      <c r="A51" s="42">
        <v>-4</v>
      </c>
      <c r="B51" s="42">
        <v>5</v>
      </c>
      <c r="C51" s="42">
        <v>4</v>
      </c>
    </row>
    <row r="52" spans="1:3" x14ac:dyDescent="0.25">
      <c r="A52" s="10">
        <v>-14</v>
      </c>
      <c r="B52" s="10">
        <v>0</v>
      </c>
      <c r="C52" s="10">
        <v>2</v>
      </c>
    </row>
    <row r="53" spans="1:3" x14ac:dyDescent="0.25">
      <c r="A53" s="10">
        <v>-16</v>
      </c>
      <c r="B53" s="10">
        <v>3</v>
      </c>
      <c r="C53" s="10">
        <v>5</v>
      </c>
    </row>
    <row r="54" spans="1:3" x14ac:dyDescent="0.25">
      <c r="A54" s="10">
        <v>2</v>
      </c>
      <c r="B54" s="10">
        <v>1</v>
      </c>
      <c r="C54" s="10">
        <v>7</v>
      </c>
    </row>
    <row r="55" spans="1:3" x14ac:dyDescent="0.25">
      <c r="A55" s="10">
        <v>3</v>
      </c>
      <c r="B55" s="10">
        <v>5</v>
      </c>
      <c r="C55" s="10">
        <v>4</v>
      </c>
    </row>
    <row r="56" spans="1:3" x14ac:dyDescent="0.25">
      <c r="A56" s="10">
        <v>11</v>
      </c>
      <c r="B56" s="10">
        <v>7.5</v>
      </c>
      <c r="C56" s="10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C28A-794C-4F0D-953A-CB7ABDDE26FB}">
  <dimension ref="E1:H56"/>
  <sheetViews>
    <sheetView zoomScale="70" zoomScaleNormal="70" workbookViewId="0">
      <selection activeCell="F1" sqref="F1:H1048576"/>
    </sheetView>
  </sheetViews>
  <sheetFormatPr baseColWidth="10" defaultRowHeight="15" x14ac:dyDescent="0.25"/>
  <sheetData>
    <row r="1" spans="5:8" x14ac:dyDescent="0.25">
      <c r="E1" s="67" t="s">
        <v>248</v>
      </c>
      <c r="F1" t="s">
        <v>130</v>
      </c>
      <c r="G1" t="s">
        <v>131</v>
      </c>
      <c r="H1" t="s">
        <v>133</v>
      </c>
    </row>
    <row r="2" spans="5:8" x14ac:dyDescent="0.25">
      <c r="E2" s="74">
        <v>1</v>
      </c>
      <c r="F2">
        <v>5</v>
      </c>
      <c r="G2">
        <v>9.5</v>
      </c>
      <c r="H2">
        <v>2</v>
      </c>
    </row>
    <row r="3" spans="5:8" x14ac:dyDescent="0.25">
      <c r="E3" s="75">
        <v>3</v>
      </c>
      <c r="F3">
        <v>-5</v>
      </c>
      <c r="G3">
        <v>3.5</v>
      </c>
      <c r="H3">
        <v>6</v>
      </c>
    </row>
    <row r="4" spans="5:8" x14ac:dyDescent="0.25">
      <c r="E4" s="75">
        <v>1</v>
      </c>
      <c r="F4">
        <v>7</v>
      </c>
      <c r="G4">
        <v>8.5</v>
      </c>
      <c r="H4">
        <v>1</v>
      </c>
    </row>
    <row r="5" spans="5:8" x14ac:dyDescent="0.25">
      <c r="E5" s="75">
        <v>1</v>
      </c>
      <c r="F5">
        <v>5</v>
      </c>
      <c r="G5">
        <v>5.5</v>
      </c>
      <c r="H5">
        <v>3</v>
      </c>
    </row>
    <row r="6" spans="5:8" x14ac:dyDescent="0.25">
      <c r="E6" s="75">
        <v>1</v>
      </c>
      <c r="F6">
        <v>2</v>
      </c>
      <c r="G6">
        <v>5</v>
      </c>
      <c r="H6">
        <v>6</v>
      </c>
    </row>
    <row r="7" spans="5:8" x14ac:dyDescent="0.25">
      <c r="E7" s="75">
        <v>1</v>
      </c>
      <c r="F7">
        <v>3</v>
      </c>
      <c r="G7">
        <v>3.5</v>
      </c>
      <c r="H7">
        <v>3</v>
      </c>
    </row>
    <row r="8" spans="5:8" x14ac:dyDescent="0.25">
      <c r="E8" s="75">
        <v>1</v>
      </c>
      <c r="F8">
        <v>4</v>
      </c>
      <c r="G8">
        <v>-1</v>
      </c>
      <c r="H8">
        <v>6</v>
      </c>
    </row>
    <row r="9" spans="5:8" x14ac:dyDescent="0.25">
      <c r="E9" s="75">
        <v>3</v>
      </c>
      <c r="F9">
        <v>-6</v>
      </c>
      <c r="G9">
        <v>5</v>
      </c>
      <c r="H9">
        <v>5</v>
      </c>
    </row>
    <row r="10" spans="5:8" x14ac:dyDescent="0.25">
      <c r="E10" s="75">
        <v>3</v>
      </c>
      <c r="F10">
        <v>-2</v>
      </c>
      <c r="G10">
        <v>4</v>
      </c>
      <c r="H10">
        <v>5</v>
      </c>
    </row>
    <row r="11" spans="5:8" x14ac:dyDescent="0.25">
      <c r="E11" s="75">
        <v>3</v>
      </c>
      <c r="F11">
        <v>0</v>
      </c>
      <c r="G11">
        <v>2</v>
      </c>
      <c r="H11">
        <v>5</v>
      </c>
    </row>
    <row r="12" spans="5:8" x14ac:dyDescent="0.25">
      <c r="E12" s="75">
        <v>2</v>
      </c>
      <c r="F12">
        <v>-14</v>
      </c>
      <c r="G12">
        <v>10</v>
      </c>
      <c r="H12">
        <v>-4</v>
      </c>
    </row>
    <row r="13" spans="5:8" x14ac:dyDescent="0.25">
      <c r="E13" s="75">
        <v>3</v>
      </c>
      <c r="F13">
        <v>-3</v>
      </c>
      <c r="G13">
        <v>6.5</v>
      </c>
      <c r="H13">
        <v>6</v>
      </c>
    </row>
    <row r="14" spans="5:8" x14ac:dyDescent="0.25">
      <c r="E14" s="75">
        <v>2</v>
      </c>
      <c r="F14">
        <v>-14</v>
      </c>
      <c r="G14">
        <v>6</v>
      </c>
      <c r="H14">
        <v>-1</v>
      </c>
    </row>
    <row r="15" spans="5:8" x14ac:dyDescent="0.25">
      <c r="E15" s="75">
        <v>3</v>
      </c>
      <c r="F15">
        <v>-3</v>
      </c>
      <c r="G15">
        <v>2.5</v>
      </c>
      <c r="H15">
        <v>4</v>
      </c>
    </row>
    <row r="16" spans="5:8" x14ac:dyDescent="0.25">
      <c r="E16" s="75">
        <v>2</v>
      </c>
      <c r="F16">
        <v>-14</v>
      </c>
      <c r="G16">
        <v>6</v>
      </c>
      <c r="H16">
        <v>3</v>
      </c>
    </row>
    <row r="17" spans="5:8" x14ac:dyDescent="0.25">
      <c r="E17" s="75">
        <v>3</v>
      </c>
      <c r="F17">
        <v>-8</v>
      </c>
      <c r="G17">
        <v>3</v>
      </c>
      <c r="H17">
        <v>5</v>
      </c>
    </row>
    <row r="18" spans="5:8" x14ac:dyDescent="0.25">
      <c r="E18" s="75">
        <v>3</v>
      </c>
      <c r="F18">
        <v>-4</v>
      </c>
      <c r="G18">
        <v>-3</v>
      </c>
      <c r="H18">
        <v>3</v>
      </c>
    </row>
    <row r="19" spans="5:8" x14ac:dyDescent="0.25">
      <c r="E19" s="75">
        <v>3</v>
      </c>
      <c r="F19">
        <v>-8</v>
      </c>
      <c r="G19">
        <v>4</v>
      </c>
      <c r="H19">
        <v>2</v>
      </c>
    </row>
    <row r="20" spans="5:8" x14ac:dyDescent="0.25">
      <c r="E20" s="75">
        <v>3</v>
      </c>
      <c r="F20">
        <v>-1</v>
      </c>
      <c r="G20">
        <v>2.5</v>
      </c>
      <c r="H20">
        <v>1</v>
      </c>
    </row>
    <row r="21" spans="5:8" x14ac:dyDescent="0.25">
      <c r="E21" s="75">
        <v>3</v>
      </c>
      <c r="F21">
        <v>-2</v>
      </c>
      <c r="G21">
        <v>5</v>
      </c>
      <c r="H21">
        <v>3</v>
      </c>
    </row>
    <row r="22" spans="5:8" x14ac:dyDescent="0.25">
      <c r="E22" s="75">
        <v>1</v>
      </c>
      <c r="F22">
        <v>3</v>
      </c>
      <c r="G22">
        <v>1.5</v>
      </c>
      <c r="H22">
        <v>-1</v>
      </c>
    </row>
    <row r="23" spans="5:8" x14ac:dyDescent="0.25">
      <c r="E23" s="75">
        <v>3</v>
      </c>
      <c r="F23">
        <v>-1</v>
      </c>
      <c r="G23">
        <v>-1.5</v>
      </c>
      <c r="H23">
        <v>7</v>
      </c>
    </row>
    <row r="24" spans="5:8" x14ac:dyDescent="0.25">
      <c r="E24" s="75">
        <v>3</v>
      </c>
      <c r="F24">
        <v>-3</v>
      </c>
      <c r="G24">
        <v>-1.5</v>
      </c>
      <c r="H24">
        <v>4</v>
      </c>
    </row>
    <row r="25" spans="5:8" x14ac:dyDescent="0.25">
      <c r="E25" s="75">
        <v>2</v>
      </c>
      <c r="F25">
        <v>-25</v>
      </c>
      <c r="G25">
        <v>-0.5</v>
      </c>
      <c r="H25">
        <v>2</v>
      </c>
    </row>
    <row r="26" spans="5:8" x14ac:dyDescent="0.25">
      <c r="E26" s="75">
        <v>1</v>
      </c>
      <c r="F26">
        <v>7.5</v>
      </c>
      <c r="G26">
        <v>10</v>
      </c>
      <c r="H26">
        <v>3</v>
      </c>
    </row>
    <row r="27" spans="5:8" x14ac:dyDescent="0.25">
      <c r="E27" s="75">
        <v>3</v>
      </c>
      <c r="F27">
        <v>0</v>
      </c>
      <c r="G27">
        <v>2</v>
      </c>
      <c r="H27">
        <v>5</v>
      </c>
    </row>
    <row r="28" spans="5:8" x14ac:dyDescent="0.25">
      <c r="E28" s="75">
        <v>3</v>
      </c>
      <c r="F28">
        <v>-9</v>
      </c>
      <c r="G28">
        <v>3.5</v>
      </c>
      <c r="H28">
        <v>2</v>
      </c>
    </row>
    <row r="29" spans="5:8" x14ac:dyDescent="0.25">
      <c r="E29" s="75">
        <v>3</v>
      </c>
      <c r="F29">
        <v>1</v>
      </c>
      <c r="G29">
        <v>2.5</v>
      </c>
      <c r="H29">
        <v>6</v>
      </c>
    </row>
    <row r="30" spans="5:8" x14ac:dyDescent="0.25">
      <c r="E30" s="75">
        <v>1</v>
      </c>
      <c r="F30">
        <v>3</v>
      </c>
      <c r="G30">
        <v>5.5</v>
      </c>
      <c r="H30">
        <v>5</v>
      </c>
    </row>
    <row r="31" spans="5:8" x14ac:dyDescent="0.25">
      <c r="E31" s="75">
        <v>2</v>
      </c>
      <c r="F31">
        <v>-12</v>
      </c>
      <c r="G31">
        <v>8</v>
      </c>
      <c r="H31">
        <v>7</v>
      </c>
    </row>
    <row r="32" spans="5:8" x14ac:dyDescent="0.25">
      <c r="E32" s="75">
        <v>1</v>
      </c>
      <c r="F32">
        <v>9</v>
      </c>
      <c r="G32">
        <v>1.5</v>
      </c>
      <c r="H32">
        <v>3</v>
      </c>
    </row>
    <row r="33" spans="5:8" x14ac:dyDescent="0.25">
      <c r="E33" s="75">
        <v>1</v>
      </c>
      <c r="F33">
        <v>12</v>
      </c>
      <c r="G33">
        <v>-2</v>
      </c>
      <c r="H33">
        <v>5</v>
      </c>
    </row>
    <row r="34" spans="5:8" x14ac:dyDescent="0.25">
      <c r="E34" s="75">
        <v>3</v>
      </c>
      <c r="F34">
        <v>-5</v>
      </c>
      <c r="G34">
        <v>0.5</v>
      </c>
      <c r="H34">
        <v>2</v>
      </c>
    </row>
    <row r="35" spans="5:8" x14ac:dyDescent="0.25">
      <c r="E35" s="75">
        <v>1</v>
      </c>
      <c r="F35">
        <v>11</v>
      </c>
      <c r="G35">
        <v>5.5</v>
      </c>
      <c r="H35">
        <v>6</v>
      </c>
    </row>
    <row r="36" spans="5:8" x14ac:dyDescent="0.25">
      <c r="E36" s="75">
        <v>1</v>
      </c>
      <c r="F36">
        <v>7</v>
      </c>
      <c r="G36">
        <v>2.5</v>
      </c>
      <c r="H36">
        <v>5</v>
      </c>
    </row>
    <row r="37" spans="5:8" x14ac:dyDescent="0.25">
      <c r="E37" s="75">
        <v>3</v>
      </c>
      <c r="F37">
        <v>-2</v>
      </c>
      <c r="G37">
        <v>0</v>
      </c>
      <c r="H37">
        <v>4</v>
      </c>
    </row>
    <row r="38" spans="5:8" x14ac:dyDescent="0.25">
      <c r="E38" s="75">
        <v>2</v>
      </c>
      <c r="F38">
        <v>-22</v>
      </c>
      <c r="G38">
        <v>8</v>
      </c>
      <c r="H38">
        <v>1</v>
      </c>
    </row>
    <row r="39" spans="5:8" x14ac:dyDescent="0.25">
      <c r="E39" s="75">
        <v>3</v>
      </c>
      <c r="F39">
        <v>-2</v>
      </c>
      <c r="G39">
        <v>1</v>
      </c>
      <c r="H39">
        <v>4</v>
      </c>
    </row>
    <row r="40" spans="5:8" x14ac:dyDescent="0.25">
      <c r="E40" s="75">
        <v>3</v>
      </c>
      <c r="F40">
        <v>-7</v>
      </c>
      <c r="G40">
        <v>4.5</v>
      </c>
      <c r="H40">
        <v>2</v>
      </c>
    </row>
    <row r="41" spans="5:8" x14ac:dyDescent="0.25">
      <c r="E41" s="75">
        <v>2</v>
      </c>
      <c r="F41">
        <v>-16</v>
      </c>
      <c r="G41">
        <v>5</v>
      </c>
      <c r="H41">
        <v>2</v>
      </c>
    </row>
    <row r="42" spans="5:8" x14ac:dyDescent="0.25">
      <c r="E42" s="75">
        <v>3</v>
      </c>
      <c r="F42">
        <v>-6</v>
      </c>
      <c r="G42">
        <v>-2</v>
      </c>
      <c r="H42">
        <v>4</v>
      </c>
    </row>
    <row r="43" spans="5:8" x14ac:dyDescent="0.25">
      <c r="E43" s="75">
        <v>3</v>
      </c>
      <c r="F43">
        <v>-1</v>
      </c>
      <c r="G43">
        <v>7.5</v>
      </c>
      <c r="H43">
        <v>1</v>
      </c>
    </row>
    <row r="44" spans="5:8" x14ac:dyDescent="0.25">
      <c r="E44" s="75">
        <v>3</v>
      </c>
      <c r="F44">
        <v>-2</v>
      </c>
      <c r="G44">
        <v>5</v>
      </c>
      <c r="H44">
        <v>4</v>
      </c>
    </row>
    <row r="45" spans="5:8" x14ac:dyDescent="0.25">
      <c r="E45" s="75">
        <v>3</v>
      </c>
      <c r="F45">
        <v>-7</v>
      </c>
      <c r="G45">
        <v>0.5</v>
      </c>
      <c r="H45">
        <v>5</v>
      </c>
    </row>
    <row r="46" spans="5:8" x14ac:dyDescent="0.25">
      <c r="E46" s="75">
        <v>1</v>
      </c>
      <c r="F46">
        <v>13</v>
      </c>
      <c r="G46">
        <v>7.5</v>
      </c>
      <c r="H46">
        <v>3</v>
      </c>
    </row>
    <row r="47" spans="5:8" x14ac:dyDescent="0.25">
      <c r="E47" s="75">
        <v>2</v>
      </c>
      <c r="F47">
        <v>-14</v>
      </c>
      <c r="G47">
        <v>3</v>
      </c>
      <c r="H47">
        <v>4</v>
      </c>
    </row>
    <row r="48" spans="5:8" x14ac:dyDescent="0.25">
      <c r="E48" s="75">
        <v>1</v>
      </c>
      <c r="F48">
        <v>5</v>
      </c>
      <c r="G48">
        <v>1.5</v>
      </c>
      <c r="H48">
        <v>2</v>
      </c>
    </row>
    <row r="49" spans="5:8" x14ac:dyDescent="0.25">
      <c r="E49" s="75">
        <v>1</v>
      </c>
      <c r="F49">
        <v>6</v>
      </c>
      <c r="G49">
        <v>-1</v>
      </c>
      <c r="H49">
        <v>3</v>
      </c>
    </row>
    <row r="50" spans="5:8" x14ac:dyDescent="0.25">
      <c r="E50" s="75">
        <v>3</v>
      </c>
      <c r="F50">
        <v>-6</v>
      </c>
      <c r="G50">
        <v>-4</v>
      </c>
      <c r="H50">
        <v>-4</v>
      </c>
    </row>
    <row r="51" spans="5:8" x14ac:dyDescent="0.25">
      <c r="E51" s="75">
        <v>3</v>
      </c>
      <c r="F51">
        <v>-4</v>
      </c>
      <c r="G51">
        <v>5</v>
      </c>
      <c r="H51">
        <v>4</v>
      </c>
    </row>
    <row r="52" spans="5:8" x14ac:dyDescent="0.25">
      <c r="E52" s="75">
        <v>2</v>
      </c>
      <c r="F52">
        <v>-14</v>
      </c>
      <c r="G52">
        <v>0</v>
      </c>
      <c r="H52">
        <v>2</v>
      </c>
    </row>
    <row r="53" spans="5:8" x14ac:dyDescent="0.25">
      <c r="E53" s="75">
        <v>2</v>
      </c>
      <c r="F53">
        <v>-16</v>
      </c>
      <c r="G53">
        <v>3</v>
      </c>
      <c r="H53">
        <v>5</v>
      </c>
    </row>
    <row r="54" spans="5:8" x14ac:dyDescent="0.25">
      <c r="E54" s="75">
        <v>1</v>
      </c>
      <c r="F54">
        <v>2</v>
      </c>
      <c r="G54">
        <v>1</v>
      </c>
      <c r="H54">
        <v>7</v>
      </c>
    </row>
    <row r="55" spans="5:8" x14ac:dyDescent="0.25">
      <c r="E55" s="75">
        <v>1</v>
      </c>
      <c r="F55">
        <v>3</v>
      </c>
      <c r="G55">
        <v>5</v>
      </c>
      <c r="H55">
        <v>4</v>
      </c>
    </row>
    <row r="56" spans="5:8" x14ac:dyDescent="0.25">
      <c r="E56" s="76">
        <v>1</v>
      </c>
      <c r="F56">
        <v>11</v>
      </c>
      <c r="G56">
        <v>7.5</v>
      </c>
      <c r="H56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F1D70-6C6C-411C-8E5A-F8EB7C3FD9A4}">
  <dimension ref="A1:IU376"/>
  <sheetViews>
    <sheetView topLeftCell="JD1" workbookViewId="0">
      <selection activeCell="AO1" sqref="AO1:AR16"/>
    </sheetView>
  </sheetViews>
  <sheetFormatPr baseColWidth="10" defaultRowHeight="15" x14ac:dyDescent="0.25"/>
  <cols>
    <col min="1" max="1" width="17.5703125" bestFit="1" customWidth="1"/>
    <col min="2" max="2" width="22.42578125" bestFit="1" customWidth="1"/>
    <col min="3" max="4" width="4" bestFit="1" customWidth="1"/>
    <col min="5" max="5" width="12.5703125" bestFit="1" customWidth="1"/>
    <col min="6" max="10" width="5" bestFit="1" customWidth="1"/>
    <col min="11" max="11" width="12.5703125" bestFit="1" customWidth="1"/>
    <col min="31" max="33" width="17.7109375" customWidth="1"/>
    <col min="42" max="42" width="12" bestFit="1" customWidth="1"/>
    <col min="78" max="79" width="17.7109375" customWidth="1"/>
    <col min="87" max="87" width="12" bestFit="1" customWidth="1"/>
    <col min="150" max="150" width="22.42578125" style="10" customWidth="1"/>
    <col min="152" max="152" width="43.140625" bestFit="1" customWidth="1"/>
    <col min="153" max="153" width="22.42578125" bestFit="1" customWidth="1"/>
    <col min="154" max="155" width="3" bestFit="1" customWidth="1"/>
    <col min="156" max="156" width="12.5703125" bestFit="1" customWidth="1"/>
  </cols>
  <sheetData>
    <row r="1" spans="1:255" ht="30" x14ac:dyDescent="0.25">
      <c r="AE1" s="45" t="s">
        <v>130</v>
      </c>
      <c r="AF1" s="45" t="s">
        <v>131</v>
      </c>
      <c r="AG1" s="45" t="s">
        <v>133</v>
      </c>
      <c r="AI1" s="70" t="s">
        <v>247</v>
      </c>
      <c r="AM1" s="67" t="s">
        <v>248</v>
      </c>
      <c r="AO1" t="s">
        <v>249</v>
      </c>
      <c r="AP1">
        <v>1</v>
      </c>
      <c r="AQ1">
        <f>AP1+1</f>
        <v>2</v>
      </c>
      <c r="AR1">
        <f>AQ1+1</f>
        <v>3</v>
      </c>
      <c r="AT1">
        <v>1</v>
      </c>
      <c r="AU1">
        <f>AT1+1</f>
        <v>2</v>
      </c>
      <c r="AV1">
        <f>AU1+1</f>
        <v>3</v>
      </c>
      <c r="AW1" s="72" t="s">
        <v>257</v>
      </c>
      <c r="AY1">
        <v>1</v>
      </c>
      <c r="AZ1">
        <v>2</v>
      </c>
      <c r="BA1">
        <v>3</v>
      </c>
      <c r="BB1" t="s">
        <v>257</v>
      </c>
      <c r="BH1" t="s">
        <v>261</v>
      </c>
      <c r="BI1" t="s">
        <v>130</v>
      </c>
      <c r="BJ1" t="s">
        <v>131</v>
      </c>
      <c r="BK1" t="s">
        <v>133</v>
      </c>
      <c r="BM1" s="67" t="s">
        <v>248</v>
      </c>
      <c r="BO1" t="s">
        <v>248</v>
      </c>
      <c r="BP1" t="s">
        <v>257</v>
      </c>
      <c r="BZ1" s="45" t="s">
        <v>131</v>
      </c>
      <c r="CA1" s="45" t="s">
        <v>133</v>
      </c>
      <c r="CC1" s="70" t="s">
        <v>247</v>
      </c>
      <c r="CS1" t="s">
        <v>248</v>
      </c>
      <c r="CT1" t="s">
        <v>257</v>
      </c>
      <c r="ES1" s="67" t="s">
        <v>248</v>
      </c>
      <c r="ET1" s="48" t="s">
        <v>135</v>
      </c>
      <c r="HD1" s="55" t="s">
        <v>203</v>
      </c>
      <c r="HE1" s="55">
        <v>1</v>
      </c>
      <c r="HF1" s="55">
        <v>2</v>
      </c>
      <c r="HG1" s="55">
        <v>3</v>
      </c>
      <c r="HH1" s="55" t="s">
        <v>206</v>
      </c>
      <c r="HS1" s="55" t="s">
        <v>203</v>
      </c>
      <c r="HT1" s="55">
        <v>1</v>
      </c>
      <c r="HU1" s="55" t="s">
        <v>323</v>
      </c>
      <c r="HV1" s="55">
        <v>2</v>
      </c>
      <c r="HW1" s="55">
        <v>3</v>
      </c>
      <c r="HX1" s="55" t="s">
        <v>206</v>
      </c>
      <c r="ID1" s="55" t="s">
        <v>203</v>
      </c>
      <c r="IE1" s="55">
        <v>2</v>
      </c>
      <c r="IF1" s="55"/>
      <c r="IG1" s="55">
        <v>1</v>
      </c>
      <c r="IH1" s="55">
        <v>3</v>
      </c>
      <c r="II1" s="55" t="s">
        <v>206</v>
      </c>
      <c r="IN1" s="55" t="s">
        <v>203</v>
      </c>
      <c r="IO1" s="55">
        <v>3</v>
      </c>
      <c r="IP1" s="55"/>
      <c r="IQ1" s="55">
        <v>1</v>
      </c>
      <c r="IR1" s="55">
        <v>2</v>
      </c>
      <c r="IS1" s="55" t="s">
        <v>206</v>
      </c>
    </row>
    <row r="2" spans="1:255" x14ac:dyDescent="0.25">
      <c r="AE2" s="42">
        <v>5</v>
      </c>
      <c r="AF2" s="42">
        <v>9.5</v>
      </c>
      <c r="AG2" s="42">
        <v>2</v>
      </c>
      <c r="AI2">
        <v>1</v>
      </c>
      <c r="AL2">
        <v>1</v>
      </c>
      <c r="AM2" s="74">
        <f t="array" ref="AM2:AM56">[1]!CLUST(AE2:AG56,AP6,AI2:AI56,AP8,,AP12)</f>
        <v>1</v>
      </c>
      <c r="AO2" t="s">
        <v>254</v>
      </c>
      <c r="AP2" s="58">
        <f>AVERAGEIF($AM$2:$AM$56,AP$1,$AE$2:$AE$56)</f>
        <v>6.2368421052631575</v>
      </c>
      <c r="AQ2" s="59">
        <f t="shared" ref="AQ2:AR2" si="0">AVERAGEIF($AM$2:$AM$56,AQ$1,$AE$2:$AE$56)</f>
        <v>-16.100000000000001</v>
      </c>
      <c r="AR2" s="60">
        <f t="shared" si="0"/>
        <v>-3.6923076923076925</v>
      </c>
      <c r="AT2" s="58">
        <f t="array" ref="AT2">SUM(ABS(TRANSPOSE($AE2:$AG2)-AP$2:AP$4)^$AP$8)</f>
        <v>34.596952908587262</v>
      </c>
      <c r="AU2" s="59">
        <f t="array" ref="AU2">SUM(ABS(TRANSPOSE($AE2:$AG2)-AQ$2:AQ$4)^$AP$8)</f>
        <v>466.84250000000003</v>
      </c>
      <c r="AV2" s="60">
        <f t="array" ref="AV2">SUM(ABS(TRANSPOSE($AE2:$AG2)-AR$2:AR$4)^$AP$8)</f>
        <v>131.13313609467457</v>
      </c>
      <c r="AW2" s="74">
        <f>MIN(AT2:AV2)</f>
        <v>34.596952908587262</v>
      </c>
      <c r="AY2">
        <v>34.596952908587262</v>
      </c>
      <c r="AZ2">
        <v>466.84250000000003</v>
      </c>
      <c r="BA2">
        <v>131.13313609467457</v>
      </c>
      <c r="BB2">
        <v>34.596952908587262</v>
      </c>
      <c r="BH2">
        <v>1</v>
      </c>
      <c r="BI2">
        <v>5</v>
      </c>
      <c r="BJ2">
        <v>9.5</v>
      </c>
      <c r="BK2">
        <v>2</v>
      </c>
      <c r="BM2" s="74">
        <v>1</v>
      </c>
      <c r="BO2">
        <v>1</v>
      </c>
      <c r="BP2">
        <v>34.596952908587262</v>
      </c>
      <c r="BZ2" s="42">
        <v>9.5</v>
      </c>
      <c r="CA2" s="42">
        <v>2</v>
      </c>
      <c r="CC2">
        <v>1</v>
      </c>
      <c r="CF2" s="67" t="s">
        <v>248</v>
      </c>
      <c r="CH2" t="s">
        <v>249</v>
      </c>
      <c r="CI2">
        <v>1</v>
      </c>
      <c r="CJ2">
        <f>CI2+1</f>
        <v>2</v>
      </c>
      <c r="CK2">
        <f>CJ2+1</f>
        <v>3</v>
      </c>
      <c r="CM2">
        <v>1</v>
      </c>
      <c r="CN2">
        <f>CM2+1</f>
        <v>2</v>
      </c>
      <c r="CO2">
        <f>CN2+1</f>
        <v>3</v>
      </c>
      <c r="CP2" s="72" t="s">
        <v>257</v>
      </c>
      <c r="CS2">
        <v>1</v>
      </c>
      <c r="CT2">
        <v>34.596952908587262</v>
      </c>
      <c r="CV2" t="s">
        <v>262</v>
      </c>
      <c r="ES2" s="74">
        <v>1</v>
      </c>
      <c r="ET2" s="49" t="s">
        <v>141</v>
      </c>
      <c r="EV2" s="34" t="s">
        <v>322</v>
      </c>
      <c r="EW2" s="34" t="s">
        <v>204</v>
      </c>
      <c r="HD2" s="79" t="s">
        <v>188</v>
      </c>
      <c r="HE2">
        <v>2</v>
      </c>
      <c r="HH2">
        <v>2</v>
      </c>
      <c r="HS2" s="79" t="s">
        <v>188</v>
      </c>
      <c r="HT2">
        <v>2</v>
      </c>
      <c r="HU2">
        <f>+SUM(HV2:HW2)</f>
        <v>0</v>
      </c>
      <c r="HX2">
        <v>2</v>
      </c>
      <c r="HZ2" cm="1">
        <f t="array" ref="HZ2">[1]!CHI_TEST(HT2:HU10)</f>
        <v>3.0707657004456212E-3</v>
      </c>
      <c r="ID2" s="80" t="s">
        <v>177</v>
      </c>
      <c r="IE2">
        <v>1</v>
      </c>
      <c r="IF2">
        <f>+SUM(IG2:IH2)</f>
        <v>1</v>
      </c>
      <c r="IH2">
        <v>1</v>
      </c>
      <c r="II2">
        <v>2</v>
      </c>
      <c r="IK2" cm="1">
        <f t="array" ref="IK2">[1]!CHI_TEST(IE2:IF9)</f>
        <v>5.5208713400922704E-7</v>
      </c>
      <c r="IN2" s="35" t="s">
        <v>173</v>
      </c>
      <c r="IO2">
        <v>1</v>
      </c>
      <c r="IP2">
        <f>+SUM(IQ2:IR2)</f>
        <v>0</v>
      </c>
      <c r="IS2">
        <v>1</v>
      </c>
      <c r="IU2" cm="1">
        <f t="array" ref="IU2">[1]!CHI_TEST(IO2:IP9)</f>
        <v>3.2717612619137526E-7</v>
      </c>
    </row>
    <row r="3" spans="1:255" x14ac:dyDescent="0.25">
      <c r="A3" s="34" t="s">
        <v>209</v>
      </c>
      <c r="B3" s="34" t="s">
        <v>204</v>
      </c>
      <c r="AE3" s="42">
        <v>-5</v>
      </c>
      <c r="AF3" s="42">
        <v>3.5</v>
      </c>
      <c r="AG3" s="42">
        <v>6</v>
      </c>
      <c r="AI3">
        <v>1</v>
      </c>
      <c r="AL3">
        <f>AL2+1</f>
        <v>2</v>
      </c>
      <c r="AM3" s="75">
        <v>3</v>
      </c>
      <c r="AO3" t="s">
        <v>255</v>
      </c>
      <c r="AP3" s="61">
        <f>AVERAGEIF($AM$2:$AM$56,AP$1,$AF$2:$AF$56)</f>
        <v>4.0526315789473681</v>
      </c>
      <c r="AQ3">
        <f t="shared" ref="AQ3:AR3" si="1">AVERAGEIF($AM$2:$AM$56,AQ$1,$AF$2:$AF$56)</f>
        <v>4.8499999999999996</v>
      </c>
      <c r="AR3" s="62">
        <f t="shared" si="1"/>
        <v>2.2307692307692308</v>
      </c>
      <c r="AT3" s="61">
        <f t="array" ref="AT3">SUM(ABS(TRANSPOSE($AE3:$AG3)-AP$2:AP$4)^$AP$8)</f>
        <v>131.22853185595568</v>
      </c>
      <c r="AU3">
        <f t="array" ref="AU3">SUM(ABS(TRANSPOSE($AE3:$AG3)-AQ$2:AQ$4)^$AP$8)</f>
        <v>140.24250000000004</v>
      </c>
      <c r="AV3" s="62">
        <f t="array" ref="AV3">SUM(ABS(TRANSPOSE($AE3:$AG3)-AR$2:AR$4)^$AP$8)</f>
        <v>8.8254437869822482</v>
      </c>
      <c r="AW3" s="75">
        <f t="shared" ref="AW3:AW56" si="2">MIN(AT3:AV3)</f>
        <v>8.8254437869822482</v>
      </c>
      <c r="AY3">
        <v>131.22853185595568</v>
      </c>
      <c r="AZ3">
        <v>140.24250000000004</v>
      </c>
      <c r="BA3">
        <v>8.8254437869822482</v>
      </c>
      <c r="BB3">
        <v>8.8254437869822482</v>
      </c>
      <c r="BH3">
        <v>2</v>
      </c>
      <c r="BI3">
        <v>-5</v>
      </c>
      <c r="BJ3">
        <v>3.5</v>
      </c>
      <c r="BK3">
        <v>6</v>
      </c>
      <c r="BM3" s="75">
        <v>3</v>
      </c>
      <c r="BO3">
        <v>3</v>
      </c>
      <c r="BP3">
        <v>8.8254437869822482</v>
      </c>
      <c r="BZ3" s="42">
        <v>3.5</v>
      </c>
      <c r="CA3" s="42">
        <v>6</v>
      </c>
      <c r="CC3">
        <v>1</v>
      </c>
      <c r="CE3">
        <v>1</v>
      </c>
      <c r="CF3" s="74">
        <f t="array" ref="CF3:CF57">[1]!CLUST(BZ2:CA56,CI6,CC2:CC56,CI8,,CI12)</f>
        <v>1</v>
      </c>
      <c r="CH3" t="s">
        <v>254</v>
      </c>
      <c r="CI3" s="58">
        <f>AVERAGEIF($CF$3:$CF$57,CI$2,$BZ$2:$BZ$56)</f>
        <v>6.2307692307692308</v>
      </c>
      <c r="CJ3" s="59">
        <f t="shared" ref="CJ3:CK3" si="3">AVERAGEIF($CF$3:$CF$57,CJ$2,$BZ$2:$BZ$56)</f>
        <v>1.5277777777777777</v>
      </c>
      <c r="CK3" s="60">
        <f t="shared" si="3"/>
        <v>-0.54545454545454541</v>
      </c>
      <c r="CM3" s="58">
        <f t="array" ref="CM3">SUM(ABS(TRANSPOSE($BZ2:$CA2)-CI$3:CI$4)^$CI$8)</f>
        <v>11.847633136094673</v>
      </c>
      <c r="CN3" s="59">
        <f t="array" ref="CN3">SUM(ABS(TRANSPOSE($BZ2:$CA2)-CJ$3:CJ$4)^$CI$8)</f>
        <v>72.892746913580254</v>
      </c>
      <c r="CO3" s="60">
        <f t="array" ref="CO3">SUM(ABS(TRANSPOSE($BZ2:$CA2)-CK$3:CK$4)^$CI$8)</f>
        <v>101.04338842975206</v>
      </c>
      <c r="CP3" s="74">
        <f>MIN(CM3:CO3)</f>
        <v>11.847633136094673</v>
      </c>
      <c r="CS3">
        <v>3</v>
      </c>
      <c r="CT3">
        <v>8.8254437869822482</v>
      </c>
      <c r="ES3" s="75">
        <v>2</v>
      </c>
      <c r="ET3" s="49" t="s">
        <v>145</v>
      </c>
      <c r="EV3" s="34" t="s">
        <v>203</v>
      </c>
      <c r="EW3">
        <v>1</v>
      </c>
      <c r="EX3">
        <v>2</v>
      </c>
      <c r="EY3">
        <v>3</v>
      </c>
      <c r="EZ3" t="s">
        <v>206</v>
      </c>
      <c r="FC3" s="55" t="s">
        <v>203</v>
      </c>
      <c r="FD3" s="55">
        <v>1</v>
      </c>
      <c r="FE3" s="55">
        <v>2</v>
      </c>
      <c r="FF3" s="55">
        <v>3</v>
      </c>
      <c r="FG3" s="55" t="s">
        <v>206</v>
      </c>
      <c r="FV3" s="55" t="s">
        <v>203</v>
      </c>
      <c r="FW3" s="55">
        <v>1</v>
      </c>
      <c r="FX3" s="55">
        <v>2</v>
      </c>
      <c r="FY3" s="55">
        <v>3</v>
      </c>
      <c r="FZ3" s="55" t="s">
        <v>206</v>
      </c>
      <c r="HD3" s="79" t="s">
        <v>169</v>
      </c>
      <c r="HE3">
        <v>3</v>
      </c>
      <c r="HH3">
        <v>3</v>
      </c>
      <c r="HS3" s="79" t="s">
        <v>169</v>
      </c>
      <c r="HT3">
        <v>3</v>
      </c>
      <c r="HU3">
        <f t="shared" ref="HU3:HU9" si="4">+SUM(HV3:HW3)</f>
        <v>0</v>
      </c>
      <c r="HX3">
        <v>3</v>
      </c>
      <c r="ID3" s="80" t="s">
        <v>164</v>
      </c>
      <c r="IE3">
        <v>3</v>
      </c>
      <c r="IF3">
        <f t="shared" ref="IF3:IF8" si="5">+SUM(IG3:IH3)</f>
        <v>0</v>
      </c>
      <c r="II3">
        <v>3</v>
      </c>
      <c r="IN3" s="35" t="s">
        <v>197</v>
      </c>
      <c r="IO3">
        <v>1</v>
      </c>
      <c r="IP3">
        <f t="shared" ref="IP3:IP8" si="6">+SUM(IQ3:IR3)</f>
        <v>0</v>
      </c>
      <c r="IS3">
        <v>1</v>
      </c>
    </row>
    <row r="4" spans="1:255" ht="15.75" thickBot="1" x14ac:dyDescent="0.3">
      <c r="A4" s="34" t="s">
        <v>203</v>
      </c>
      <c r="B4" t="s">
        <v>183</v>
      </c>
      <c r="C4" t="s">
        <v>139</v>
      </c>
      <c r="D4" t="s">
        <v>143</v>
      </c>
      <c r="E4" t="s">
        <v>206</v>
      </c>
      <c r="K4" s="55" t="s">
        <v>203</v>
      </c>
      <c r="L4" s="55" t="s">
        <v>183</v>
      </c>
      <c r="M4" s="55" t="s">
        <v>139</v>
      </c>
      <c r="N4" s="55" t="s">
        <v>143</v>
      </c>
      <c r="O4" s="55" t="s">
        <v>206</v>
      </c>
      <c r="Q4" t="s">
        <v>210</v>
      </c>
      <c r="W4" t="s">
        <v>212</v>
      </c>
      <c r="AE4" s="10">
        <v>7</v>
      </c>
      <c r="AF4" s="10">
        <v>8.5</v>
      </c>
      <c r="AG4" s="10">
        <v>1</v>
      </c>
      <c r="AI4">
        <v>3</v>
      </c>
      <c r="AL4">
        <f t="shared" ref="AL4:AL56" si="7">AL3+1</f>
        <v>3</v>
      </c>
      <c r="AM4" s="75">
        <v>1</v>
      </c>
      <c r="AO4" t="s">
        <v>256</v>
      </c>
      <c r="AP4" s="63">
        <f>AVERAGEIF($AM$2:$AM$56,AP$1,$AG$2:$AG$56)</f>
        <v>3.8421052631578947</v>
      </c>
      <c r="AQ4" s="64">
        <f t="shared" ref="AQ4:AR4" si="8">AVERAGEIF($AM$2:$AM$56,AQ$1,$AG$2:$AG$56)</f>
        <v>2.1</v>
      </c>
      <c r="AR4" s="65">
        <f t="shared" si="8"/>
        <v>3.6538461538461537</v>
      </c>
      <c r="AT4" s="61">
        <f t="array" ref="AT4">SUM(ABS(TRANSPOSE($AE4:$AG4)-AP$2:AP$4)^$AP$8)</f>
        <v>28.439058171745156</v>
      </c>
      <c r="AU4">
        <f t="array" ref="AU4">SUM(ABS(TRANSPOSE($AE4:$AG4)-AQ$2:AQ$4)^$AP$8)</f>
        <v>548.14250000000004</v>
      </c>
      <c r="AV4" s="62">
        <f t="array" ref="AV4">SUM(ABS(TRANSPOSE($AE4:$AG4)-AR$2:AR$4)^$AP$8)</f>
        <v>160.67159763313612</v>
      </c>
      <c r="AW4" s="75">
        <f t="shared" si="2"/>
        <v>28.439058171745156</v>
      </c>
      <c r="AY4">
        <v>28.439058171745156</v>
      </c>
      <c r="AZ4">
        <v>548.14250000000004</v>
      </c>
      <c r="BA4">
        <v>160.67159763313612</v>
      </c>
      <c r="BB4">
        <v>28.439058171745156</v>
      </c>
      <c r="BH4">
        <v>3</v>
      </c>
      <c r="BI4">
        <v>7</v>
      </c>
      <c r="BJ4">
        <v>8.5</v>
      </c>
      <c r="BK4">
        <v>1</v>
      </c>
      <c r="BM4" s="75">
        <v>1</v>
      </c>
      <c r="BO4">
        <v>1</v>
      </c>
      <c r="BP4">
        <v>28.439058171745156</v>
      </c>
      <c r="BZ4" s="10">
        <v>8.5</v>
      </c>
      <c r="CA4" s="10">
        <v>1</v>
      </c>
      <c r="CC4">
        <v>3</v>
      </c>
      <c r="CE4">
        <f>CE3+1</f>
        <v>2</v>
      </c>
      <c r="CF4" s="75">
        <v>2</v>
      </c>
      <c r="CH4" t="s">
        <v>255</v>
      </c>
      <c r="CI4" s="63">
        <f>AVERAGEIF($CF$3:$CF$57,CI$2,$CA$2:$CA$56)</f>
        <v>3.0769230769230771</v>
      </c>
      <c r="CJ4" s="64">
        <f t="shared" ref="CJ4:CK4" si="9">AVERAGEIF($CF$3:$CF$57,CJ$2,$CA$2:$CA$56)</f>
        <v>5.0555555555555554</v>
      </c>
      <c r="CK4" s="65">
        <f t="shared" si="9"/>
        <v>1.6363636363636365</v>
      </c>
      <c r="CM4" s="61">
        <f t="array" ref="CM4">SUM(ABS(TRANSPOSE($BZ3:$CA3)-CI$3:CI$4)^$CI$8)</f>
        <v>16.001479289940825</v>
      </c>
      <c r="CN4">
        <f t="array" ref="CN4">SUM(ABS(TRANSPOSE($BZ3:$CA3)-CJ$3:CJ$4)^$CI$8)</f>
        <v>4.781635802469137</v>
      </c>
      <c r="CO4" s="62">
        <f t="array" ref="CO4">SUM(ABS(TRANSPOSE($BZ3:$CA3)-CK$3:CK$4)^$CI$8)</f>
        <v>35.407024793388423</v>
      </c>
      <c r="CP4" s="75">
        <f t="shared" ref="CP4:CP57" si="10">MIN(CM4:CO4)</f>
        <v>4.781635802469137</v>
      </c>
      <c r="CS4">
        <v>1</v>
      </c>
      <c r="CT4">
        <v>28.439058171745156</v>
      </c>
      <c r="CV4">
        <f t="array" ref="CV4:CX30">[1]!StdAnova1(CS2:CT56)</f>
        <v>1</v>
      </c>
      <c r="CW4">
        <v>2</v>
      </c>
      <c r="CX4">
        <v>3</v>
      </c>
      <c r="CZ4" t="s">
        <v>263</v>
      </c>
      <c r="DJ4" t="s">
        <v>298</v>
      </c>
      <c r="DP4" t="s">
        <v>282</v>
      </c>
      <c r="DS4" t="s">
        <v>283</v>
      </c>
      <c r="DT4">
        <v>0.05</v>
      </c>
      <c r="EA4" t="s">
        <v>313</v>
      </c>
      <c r="ED4" t="s">
        <v>283</v>
      </c>
      <c r="EE4">
        <v>0.05</v>
      </c>
      <c r="ES4" s="75">
        <v>1</v>
      </c>
      <c r="ET4" s="49" t="s">
        <v>147</v>
      </c>
      <c r="EV4" s="35" t="s">
        <v>177</v>
      </c>
      <c r="EX4">
        <v>1</v>
      </c>
      <c r="EY4">
        <v>1</v>
      </c>
      <c r="EZ4">
        <v>2</v>
      </c>
      <c r="FC4" s="35" t="s">
        <v>177</v>
      </c>
      <c r="FD4">
        <v>0</v>
      </c>
      <c r="FE4">
        <v>1</v>
      </c>
      <c r="FF4">
        <v>1</v>
      </c>
      <c r="FG4">
        <v>2</v>
      </c>
      <c r="FI4" t="s">
        <v>210</v>
      </c>
      <c r="FO4" t="s">
        <v>212</v>
      </c>
      <c r="FV4" s="35" t="s">
        <v>177</v>
      </c>
      <c r="FX4">
        <v>1</v>
      </c>
      <c r="FY4">
        <v>1</v>
      </c>
      <c r="FZ4">
        <v>2</v>
      </c>
      <c r="GB4" t="s">
        <v>228</v>
      </c>
      <c r="HD4" s="79" t="s">
        <v>147</v>
      </c>
      <c r="HE4">
        <v>1</v>
      </c>
      <c r="HH4">
        <v>1</v>
      </c>
      <c r="HS4" s="79" t="s">
        <v>147</v>
      </c>
      <c r="HT4">
        <v>1</v>
      </c>
      <c r="HU4">
        <f t="shared" si="4"/>
        <v>0</v>
      </c>
      <c r="HX4">
        <v>1</v>
      </c>
      <c r="ID4" s="80" t="s">
        <v>171</v>
      </c>
      <c r="IE4">
        <v>1</v>
      </c>
      <c r="IF4">
        <f t="shared" si="5"/>
        <v>1</v>
      </c>
      <c r="IH4">
        <v>1</v>
      </c>
      <c r="II4">
        <v>2</v>
      </c>
      <c r="IN4" s="35" t="s">
        <v>179</v>
      </c>
      <c r="IO4">
        <v>1</v>
      </c>
      <c r="IP4">
        <f t="shared" si="6"/>
        <v>0</v>
      </c>
      <c r="IS4">
        <v>1</v>
      </c>
    </row>
    <row r="5" spans="1:255" ht="15.75" thickTop="1" x14ac:dyDescent="0.25">
      <c r="A5" s="35" t="s">
        <v>187</v>
      </c>
      <c r="B5">
        <v>6</v>
      </c>
      <c r="E5">
        <v>6</v>
      </c>
      <c r="K5" s="35" t="s">
        <v>187</v>
      </c>
      <c r="L5">
        <v>6</v>
      </c>
      <c r="M5">
        <v>0</v>
      </c>
      <c r="N5">
        <v>0</v>
      </c>
      <c r="O5">
        <v>6</v>
      </c>
      <c r="AE5" s="10">
        <v>5</v>
      </c>
      <c r="AF5" s="10">
        <v>5.5</v>
      </c>
      <c r="AG5" s="10">
        <v>3</v>
      </c>
      <c r="AI5">
        <v>3</v>
      </c>
      <c r="AL5" s="72">
        <f t="shared" si="7"/>
        <v>4</v>
      </c>
      <c r="AM5" s="75">
        <v>1</v>
      </c>
      <c r="AT5" s="61">
        <f t="array" ref="AT5">SUM(ABS(TRANSPOSE($AE5:$AG5)-AP$2:AP$4)^$AP$8)</f>
        <v>4.3337950138504144</v>
      </c>
      <c r="AU5">
        <f t="array" ref="AU5">SUM(ABS(TRANSPOSE($AE5:$AG5)-AQ$2:AQ$4)^$AP$8)</f>
        <v>446.44250000000005</v>
      </c>
      <c r="AV5" s="62">
        <f t="array" ref="AV5">SUM(ABS(TRANSPOSE($AE5:$AG5)-AR$2:AR$4)^$AP$8)</f>
        <v>86.671597633136116</v>
      </c>
      <c r="AW5" s="75">
        <f t="shared" si="2"/>
        <v>4.3337950138504144</v>
      </c>
      <c r="AY5">
        <v>4.3337950138504144</v>
      </c>
      <c r="AZ5">
        <v>446.44250000000005</v>
      </c>
      <c r="BA5">
        <v>86.671597633136116</v>
      </c>
      <c r="BB5">
        <v>4.3337950138504144</v>
      </c>
      <c r="BH5">
        <v>4</v>
      </c>
      <c r="BI5">
        <v>5</v>
      </c>
      <c r="BJ5">
        <v>5.5</v>
      </c>
      <c r="BK5">
        <v>3</v>
      </c>
      <c r="BM5" s="75">
        <v>1</v>
      </c>
      <c r="BO5">
        <v>1</v>
      </c>
      <c r="BP5">
        <v>4.3337950138504144</v>
      </c>
      <c r="BZ5" s="10">
        <v>5.5</v>
      </c>
      <c r="CA5" s="10">
        <v>3</v>
      </c>
      <c r="CC5">
        <v>3</v>
      </c>
      <c r="CE5">
        <f t="shared" ref="CE5:CE57" si="11">CE4+1</f>
        <v>3</v>
      </c>
      <c r="CF5" s="75">
        <v>1</v>
      </c>
      <c r="CM5" s="61">
        <f t="array" ref="CM5">SUM(ABS(TRANSPOSE($BZ4:$CA4)-CI$3:CI$4)^$CI$8)</f>
        <v>9.4630177514792901</v>
      </c>
      <c r="CN5">
        <f t="array" ref="CN5">SUM(ABS(TRANSPOSE($BZ4:$CA4)-CJ$3:CJ$4)^$CI$8)</f>
        <v>65.059413580246911</v>
      </c>
      <c r="CO5" s="62">
        <f t="array" ref="CO5">SUM(ABS(TRANSPOSE($BZ4:$CA4)-CK$3:CK$4)^$CI$8)</f>
        <v>82.225206611570243</v>
      </c>
      <c r="CP5" s="75">
        <f t="shared" si="10"/>
        <v>9.4630177514792901</v>
      </c>
      <c r="CS5">
        <v>1</v>
      </c>
      <c r="CT5">
        <v>4.3337950138504144</v>
      </c>
      <c r="CV5" s="58">
        <v>34.596952908587262</v>
      </c>
      <c r="CW5" s="59">
        <v>68.142500000000013</v>
      </c>
      <c r="CX5" s="60">
        <v>8.8254437869822482</v>
      </c>
      <c r="DP5" s="66" t="s">
        <v>284</v>
      </c>
      <c r="DQ5" s="66" t="s">
        <v>285</v>
      </c>
      <c r="DR5" s="66" t="s">
        <v>286</v>
      </c>
      <c r="DS5" s="66" t="s">
        <v>287</v>
      </c>
      <c r="DT5" s="66" t="s">
        <v>218</v>
      </c>
      <c r="DU5" s="66" t="s">
        <v>288</v>
      </c>
      <c r="EA5" s="66" t="s">
        <v>284</v>
      </c>
      <c r="EB5" s="66" t="s">
        <v>314</v>
      </c>
      <c r="EC5" s="66" t="s">
        <v>311</v>
      </c>
      <c r="ED5" s="66" t="s">
        <v>315</v>
      </c>
      <c r="EE5" s="66" t="s">
        <v>288</v>
      </c>
      <c r="ES5" s="75">
        <v>1</v>
      </c>
      <c r="ET5" s="49" t="s">
        <v>141</v>
      </c>
      <c r="EV5" s="35" t="s">
        <v>164</v>
      </c>
      <c r="EX5">
        <v>3</v>
      </c>
      <c r="EZ5">
        <v>3</v>
      </c>
      <c r="FC5" s="35" t="s">
        <v>164</v>
      </c>
      <c r="FD5">
        <v>0</v>
      </c>
      <c r="FE5">
        <v>3</v>
      </c>
      <c r="FF5">
        <v>0</v>
      </c>
      <c r="FG5">
        <v>3</v>
      </c>
      <c r="FV5" s="35" t="s">
        <v>164</v>
      </c>
      <c r="FX5">
        <v>3</v>
      </c>
      <c r="FZ5">
        <v>3</v>
      </c>
      <c r="HD5" s="79" t="s">
        <v>159</v>
      </c>
      <c r="HE5">
        <v>2</v>
      </c>
      <c r="HH5">
        <v>2</v>
      </c>
      <c r="HS5" s="79" t="s">
        <v>159</v>
      </c>
      <c r="HT5">
        <v>2</v>
      </c>
      <c r="HU5">
        <f t="shared" si="4"/>
        <v>0</v>
      </c>
      <c r="HX5">
        <v>2</v>
      </c>
      <c r="ID5" s="80" t="s">
        <v>175</v>
      </c>
      <c r="IE5">
        <v>1</v>
      </c>
      <c r="IF5">
        <f t="shared" si="5"/>
        <v>0</v>
      </c>
      <c r="II5">
        <v>1</v>
      </c>
      <c r="IN5" s="35" t="s">
        <v>185</v>
      </c>
      <c r="IO5">
        <v>2</v>
      </c>
      <c r="IP5">
        <f t="shared" si="6"/>
        <v>0</v>
      </c>
      <c r="IS5">
        <v>2</v>
      </c>
    </row>
    <row r="6" spans="1:255" ht="15.75" thickBot="1" x14ac:dyDescent="0.3">
      <c r="A6" s="35" t="s">
        <v>190</v>
      </c>
      <c r="B6">
        <v>4</v>
      </c>
      <c r="E6">
        <v>4</v>
      </c>
      <c r="K6" s="35" t="s">
        <v>190</v>
      </c>
      <c r="L6">
        <v>4</v>
      </c>
      <c r="M6">
        <v>0</v>
      </c>
      <c r="N6">
        <v>0</v>
      </c>
      <c r="O6">
        <v>4</v>
      </c>
      <c r="Q6" t="str">
        <f>IF(K4="","",K4)</f>
        <v>Etiquetas de fila</v>
      </c>
      <c r="R6" t="str">
        <f t="shared" ref="R6:T6" si="12">IF(L4="","",L4)</f>
        <v>T21</v>
      </c>
      <c r="S6" t="str">
        <f t="shared" si="12"/>
        <v>T22</v>
      </c>
      <c r="T6" t="str">
        <f t="shared" si="12"/>
        <v>T23</v>
      </c>
      <c r="U6" t="s">
        <v>211</v>
      </c>
      <c r="W6" t="s">
        <v>213</v>
      </c>
      <c r="Y6" t="s">
        <v>214</v>
      </c>
      <c r="Z6">
        <v>0.05</v>
      </c>
      <c r="AE6" s="42">
        <v>2</v>
      </c>
      <c r="AF6" s="42">
        <v>5</v>
      </c>
      <c r="AG6" s="42">
        <v>6</v>
      </c>
      <c r="AI6">
        <v>3</v>
      </c>
      <c r="AL6">
        <f t="shared" si="7"/>
        <v>5</v>
      </c>
      <c r="AM6" s="75">
        <v>1</v>
      </c>
      <c r="AO6" t="s">
        <v>250</v>
      </c>
      <c r="AP6" s="71">
        <v>3</v>
      </c>
      <c r="AT6" s="61">
        <f t="array" ref="AT6">SUM(ABS(TRANSPOSE($AE6:$AG6)-AP$2:AP$4)^$AP$8)</f>
        <v>23.504847645429365</v>
      </c>
      <c r="AU6">
        <f t="array" ref="AU6">SUM(ABS(TRANSPOSE($AE6:$AG6)-AQ$2:AQ$4)^$AP$8)</f>
        <v>342.84250000000003</v>
      </c>
      <c r="AV6" s="62">
        <f t="array" ref="AV6">SUM(ABS(TRANSPOSE($AE6:$AG6)-AR$2:AR$4)^$AP$8)</f>
        <v>45.575443786982248</v>
      </c>
      <c r="AW6" s="75">
        <f t="shared" si="2"/>
        <v>23.504847645429365</v>
      </c>
      <c r="AY6">
        <v>23.504847645429365</v>
      </c>
      <c r="AZ6">
        <v>342.84250000000003</v>
      </c>
      <c r="BA6">
        <v>45.575443786982248</v>
      </c>
      <c r="BB6">
        <v>23.504847645429365</v>
      </c>
      <c r="BH6">
        <v>5</v>
      </c>
      <c r="BI6">
        <v>2</v>
      </c>
      <c r="BJ6">
        <v>5</v>
      </c>
      <c r="BK6">
        <v>6</v>
      </c>
      <c r="BM6" s="75">
        <v>1</v>
      </c>
      <c r="BO6">
        <v>1</v>
      </c>
      <c r="BP6">
        <v>23.504847645429365</v>
      </c>
      <c r="BZ6" s="42">
        <v>5</v>
      </c>
      <c r="CA6" s="42">
        <v>6</v>
      </c>
      <c r="CC6">
        <v>3</v>
      </c>
      <c r="CE6" s="72">
        <f t="shared" si="11"/>
        <v>4</v>
      </c>
      <c r="CF6" s="75">
        <v>1</v>
      </c>
      <c r="CH6" t="s">
        <v>250</v>
      </c>
      <c r="CI6" s="71">
        <v>3</v>
      </c>
      <c r="CM6" s="61">
        <f t="array" ref="CM6">SUM(ABS(TRANSPOSE($BZ5:$CA5)-CI$3:CI$4)^$CI$8)</f>
        <v>0.53994082840236701</v>
      </c>
      <c r="CN6">
        <f t="array" ref="CN6">SUM(ABS(TRANSPOSE($BZ5:$CA5)-CJ$3:CJ$4)^$CI$8)</f>
        <v>20.003858024691358</v>
      </c>
      <c r="CO6" s="62">
        <f t="array" ref="CO6">SUM(ABS(TRANSPOSE($BZ5:$CA5)-CK$3:CK$4)^$CI$8)</f>
        <v>38.407024793388423</v>
      </c>
      <c r="CP6" s="75">
        <f t="shared" si="10"/>
        <v>0.53994082840236701</v>
      </c>
      <c r="CS6">
        <v>1</v>
      </c>
      <c r="CT6">
        <v>23.504847645429365</v>
      </c>
      <c r="CV6" s="61">
        <v>28.439058171745156</v>
      </c>
      <c r="CW6">
        <v>15.342500000000008</v>
      </c>
      <c r="CX6" s="62">
        <v>14.806213017751478</v>
      </c>
      <c r="CZ6" t="s">
        <v>264</v>
      </c>
      <c r="DE6" t="s">
        <v>214</v>
      </c>
      <c r="DF6">
        <v>0.05</v>
      </c>
      <c r="DK6">
        <f>CV4</f>
        <v>1</v>
      </c>
      <c r="DL6">
        <f t="shared" ref="DL6:DM6" si="13">CW4</f>
        <v>2</v>
      </c>
      <c r="DM6">
        <f t="shared" si="13"/>
        <v>3</v>
      </c>
      <c r="DP6">
        <f>CV4</f>
        <v>1</v>
      </c>
      <c r="DQ6">
        <f>AVERAGE(CV5:CV30)</f>
        <v>28.350415512465371</v>
      </c>
      <c r="DR6">
        <f>COUNT(CV5:CV30)</f>
        <v>19</v>
      </c>
      <c r="DS6">
        <f>DEVSQ(CV5:CV30)</f>
        <v>5824.8081170724581</v>
      </c>
      <c r="EA6">
        <f>CV4</f>
        <v>1</v>
      </c>
      <c r="EB6">
        <f>[1]!RANK_SUM(CV5:CX30,1,1)</f>
        <v>609</v>
      </c>
      <c r="EC6">
        <f>COUNT(CV5:CV30)</f>
        <v>19</v>
      </c>
      <c r="ED6">
        <f>EB6/EC6</f>
        <v>32.05263157894737</v>
      </c>
      <c r="ES6" s="75">
        <v>1</v>
      </c>
      <c r="ET6" s="49" t="s">
        <v>150</v>
      </c>
      <c r="EV6" s="35" t="s">
        <v>188</v>
      </c>
      <c r="EW6">
        <v>2</v>
      </c>
      <c r="EZ6">
        <v>2</v>
      </c>
      <c r="FC6" s="35" t="s">
        <v>188</v>
      </c>
      <c r="FD6">
        <v>2</v>
      </c>
      <c r="FE6">
        <v>0</v>
      </c>
      <c r="FF6">
        <v>0</v>
      </c>
      <c r="FG6">
        <v>2</v>
      </c>
      <c r="FI6" t="str">
        <f>IF(FC3="","",FC3)</f>
        <v>Etiquetas de fila</v>
      </c>
      <c r="FJ6">
        <f t="shared" ref="FJ6:FL6" si="14">IF(FD3="","",FD3)</f>
        <v>1</v>
      </c>
      <c r="FK6">
        <f t="shared" si="14"/>
        <v>2</v>
      </c>
      <c r="FL6">
        <f t="shared" si="14"/>
        <v>3</v>
      </c>
      <c r="FM6" t="s">
        <v>211</v>
      </c>
      <c r="FO6" t="s">
        <v>213</v>
      </c>
      <c r="FQ6" t="s">
        <v>214</v>
      </c>
      <c r="FR6">
        <v>0.05</v>
      </c>
      <c r="FV6" s="35" t="s">
        <v>188</v>
      </c>
      <c r="FW6">
        <v>2</v>
      </c>
      <c r="FZ6">
        <v>2</v>
      </c>
      <c r="GB6" t="s">
        <v>229</v>
      </c>
      <c r="GH6" t="s">
        <v>230</v>
      </c>
      <c r="GM6" t="s">
        <v>234</v>
      </c>
      <c r="GY6" t="s">
        <v>246</v>
      </c>
      <c r="HD6" s="79" t="s">
        <v>155</v>
      </c>
      <c r="HE6">
        <v>1</v>
      </c>
      <c r="HF6">
        <v>1</v>
      </c>
      <c r="HH6">
        <v>11</v>
      </c>
      <c r="HS6" s="79" t="s">
        <v>155</v>
      </c>
      <c r="HT6">
        <v>1</v>
      </c>
      <c r="HU6">
        <f t="shared" si="4"/>
        <v>1</v>
      </c>
      <c r="HV6">
        <v>1</v>
      </c>
      <c r="HX6">
        <v>11</v>
      </c>
      <c r="ID6" s="80" t="s">
        <v>162</v>
      </c>
      <c r="IE6">
        <v>5</v>
      </c>
      <c r="IF6">
        <f t="shared" si="5"/>
        <v>0</v>
      </c>
      <c r="II6">
        <v>5</v>
      </c>
      <c r="IN6" s="35" t="s">
        <v>167</v>
      </c>
      <c r="IO6">
        <v>2</v>
      </c>
      <c r="IP6">
        <f t="shared" si="6"/>
        <v>0</v>
      </c>
      <c r="IS6">
        <v>2</v>
      </c>
    </row>
    <row r="7" spans="1:255" ht="16.5" thickTop="1" thickBot="1" x14ac:dyDescent="0.3">
      <c r="A7" s="35" t="s">
        <v>184</v>
      </c>
      <c r="B7">
        <v>3</v>
      </c>
      <c r="E7">
        <v>3</v>
      </c>
      <c r="K7" s="35" t="s">
        <v>184</v>
      </c>
      <c r="L7">
        <v>3</v>
      </c>
      <c r="M7">
        <v>0</v>
      </c>
      <c r="N7">
        <v>0</v>
      </c>
      <c r="O7">
        <v>3</v>
      </c>
      <c r="Q7" t="str">
        <f t="shared" ref="Q7:Q15" si="15">IF(K5="","",K5)</f>
        <v>T211</v>
      </c>
      <c r="R7" s="58">
        <f t="array" ref="R7:T15">MMULT(U7:U15,R16:T16)/U16</f>
        <v>1.4181818181818182</v>
      </c>
      <c r="S7" s="59">
        <v>1.5272727272727273</v>
      </c>
      <c r="T7" s="60">
        <v>3.0545454545454547</v>
      </c>
      <c r="U7">
        <f t="shared" ref="U7:U15" si="16">SUM(L5:N5)</f>
        <v>6</v>
      </c>
      <c r="W7" s="66" t="s">
        <v>215</v>
      </c>
      <c r="X7" s="66" t="s">
        <v>216</v>
      </c>
      <c r="Y7" s="66" t="s">
        <v>217</v>
      </c>
      <c r="Z7" s="66" t="s">
        <v>218</v>
      </c>
      <c r="AE7" s="42">
        <v>3</v>
      </c>
      <c r="AF7" s="42">
        <v>3.5</v>
      </c>
      <c r="AG7" s="42">
        <v>3</v>
      </c>
      <c r="AI7">
        <v>2</v>
      </c>
      <c r="AL7">
        <f t="shared" si="7"/>
        <v>6</v>
      </c>
      <c r="AM7" s="75">
        <v>1</v>
      </c>
      <c r="AT7" s="61">
        <f t="array" ref="AT7">SUM(ABS(TRANSPOSE($AE7:$AG7)-AP$2:AP$4)^$AP$8)</f>
        <v>11.491689750692519</v>
      </c>
      <c r="AU7">
        <f t="array" ref="AU7">SUM(ABS(TRANSPOSE($AE7:$AG7)-AQ$2:AQ$4)^$AP$8)</f>
        <v>367.44250000000005</v>
      </c>
      <c r="AV7" s="62">
        <f t="array" ref="AV7">SUM(ABS(TRANSPOSE($AE7:$AG7)-AR$2:AR$4)^$AP$8)</f>
        <v>46.825443786982255</v>
      </c>
      <c r="AW7" s="75">
        <f t="shared" si="2"/>
        <v>11.491689750692519</v>
      </c>
      <c r="AY7">
        <v>11.491689750692519</v>
      </c>
      <c r="AZ7">
        <v>367.44250000000005</v>
      </c>
      <c r="BA7">
        <v>46.825443786982255</v>
      </c>
      <c r="BB7">
        <v>11.491689750692519</v>
      </c>
      <c r="BH7">
        <v>6</v>
      </c>
      <c r="BI7">
        <v>3</v>
      </c>
      <c r="BJ7">
        <v>3.5</v>
      </c>
      <c r="BK7">
        <v>3</v>
      </c>
      <c r="BM7" s="75">
        <v>1</v>
      </c>
      <c r="BO7">
        <v>1</v>
      </c>
      <c r="BP7">
        <v>11.491689750692519</v>
      </c>
      <c r="BZ7" s="42">
        <v>3.5</v>
      </c>
      <c r="CA7" s="42">
        <v>3</v>
      </c>
      <c r="CC7">
        <v>2</v>
      </c>
      <c r="CE7">
        <f t="shared" si="11"/>
        <v>5</v>
      </c>
      <c r="CF7" s="75">
        <v>1</v>
      </c>
      <c r="CM7" s="61">
        <f t="array" ref="CM7">SUM(ABS(TRANSPOSE($BZ6:$CA6)-CI$3:CI$4)^$CI$8)</f>
        <v>10.059171597633135</v>
      </c>
      <c r="CN7">
        <f t="array" ref="CN7">SUM(ABS(TRANSPOSE($BZ6:$CA6)-CJ$3:CJ$4)^$CI$8)</f>
        <v>12.948302469135804</v>
      </c>
      <c r="CO7" s="62">
        <f t="array" ref="CO7">SUM(ABS(TRANSPOSE($BZ6:$CA6)-CK$3:CK$4)^$CI$8)</f>
        <v>49.793388429752056</v>
      </c>
      <c r="CP7" s="75">
        <f t="shared" si="10"/>
        <v>10.059171597633135</v>
      </c>
      <c r="CS7">
        <v>1</v>
      </c>
      <c r="CT7">
        <v>11.491689750692519</v>
      </c>
      <c r="CV7" s="61">
        <v>4.3337950138504144</v>
      </c>
      <c r="CW7">
        <v>6.5425000000000066</v>
      </c>
      <c r="CX7" s="62">
        <v>7.8062130177514799</v>
      </c>
      <c r="CZ7" s="66" t="s">
        <v>265</v>
      </c>
      <c r="DA7" s="66" t="s">
        <v>215</v>
      </c>
      <c r="DB7" s="66" t="s">
        <v>266</v>
      </c>
      <c r="DC7" s="66" t="s">
        <v>267</v>
      </c>
      <c r="DD7" s="66" t="s">
        <v>268</v>
      </c>
      <c r="DE7" s="66" t="s">
        <v>269</v>
      </c>
      <c r="DF7" s="66" t="s">
        <v>270</v>
      </c>
      <c r="DG7" s="66" t="s">
        <v>271</v>
      </c>
      <c r="DH7" s="66" t="s">
        <v>272</v>
      </c>
      <c r="DJ7" t="s">
        <v>299</v>
      </c>
      <c r="DK7" s="58">
        <f>MEDIAN(CV5:CV30)</f>
        <v>28.439058171745156</v>
      </c>
      <c r="DL7" s="59">
        <f t="shared" ref="DL7:DM7" si="17">MEDIAN(CW5:CW30)</f>
        <v>21.642500000000005</v>
      </c>
      <c r="DM7" s="60">
        <f t="shared" si="17"/>
        <v>15.498520710059175</v>
      </c>
      <c r="DP7">
        <f>CW4</f>
        <v>2</v>
      </c>
      <c r="DQ7">
        <f>AVERAGE(CW5:CW30)</f>
        <v>34.582499999999996</v>
      </c>
      <c r="DR7">
        <f>COUNT(CW5:CW30)</f>
        <v>10</v>
      </c>
      <c r="DS7">
        <f>DEVSQ(CW5:CW30)</f>
        <v>10329.583999999997</v>
      </c>
      <c r="EA7">
        <f>CW4</f>
        <v>2</v>
      </c>
      <c r="EB7">
        <f>[1]!RANK_SUM(CV5:CX30,2,1)</f>
        <v>308</v>
      </c>
      <c r="EC7">
        <f>COUNT(CW5:CW30)</f>
        <v>10</v>
      </c>
      <c r="ED7">
        <f>EB7/EC7</f>
        <v>30.8</v>
      </c>
      <c r="ES7" s="75">
        <v>1</v>
      </c>
      <c r="ET7" s="49" t="s">
        <v>141</v>
      </c>
      <c r="EV7" s="35" t="s">
        <v>171</v>
      </c>
      <c r="EX7">
        <v>1</v>
      </c>
      <c r="EY7">
        <v>1</v>
      </c>
      <c r="EZ7">
        <v>2</v>
      </c>
      <c r="FC7" s="35" t="s">
        <v>171</v>
      </c>
      <c r="FD7">
        <v>0</v>
      </c>
      <c r="FE7">
        <v>1</v>
      </c>
      <c r="FF7">
        <v>1</v>
      </c>
      <c r="FG7">
        <v>2</v>
      </c>
      <c r="FI7" t="str">
        <f t="shared" ref="FI7:FI28" si="18">IF(FC4="","",FC4)</f>
        <v>A1DDB</v>
      </c>
      <c r="FJ7" s="58">
        <f t="array" ref="FJ7:FL28">MMULT(FM7:FM28,FJ29:FL29)/FM29</f>
        <v>0.94545454545454544</v>
      </c>
      <c r="FK7" s="59">
        <v>0.65454545454545454</v>
      </c>
      <c r="FL7" s="60">
        <v>0.4</v>
      </c>
      <c r="FM7">
        <f t="shared" ref="FM7:FM28" si="19">SUM(FD4:FF4)</f>
        <v>2</v>
      </c>
      <c r="FO7" s="66" t="s">
        <v>215</v>
      </c>
      <c r="FP7" s="66" t="s">
        <v>216</v>
      </c>
      <c r="FQ7" s="66" t="s">
        <v>217</v>
      </c>
      <c r="FR7" s="66" t="s">
        <v>218</v>
      </c>
      <c r="FV7" s="35" t="s">
        <v>171</v>
      </c>
      <c r="FX7">
        <v>1</v>
      </c>
      <c r="FY7">
        <v>1</v>
      </c>
      <c r="FZ7">
        <v>2</v>
      </c>
      <c r="HD7" s="79" t="s">
        <v>145</v>
      </c>
      <c r="HE7">
        <v>2</v>
      </c>
      <c r="HF7">
        <v>1</v>
      </c>
      <c r="HH7">
        <v>3</v>
      </c>
      <c r="HS7" s="79" t="s">
        <v>145</v>
      </c>
      <c r="HT7">
        <v>2</v>
      </c>
      <c r="HU7">
        <f t="shared" si="4"/>
        <v>1</v>
      </c>
      <c r="HV7">
        <v>1</v>
      </c>
      <c r="HX7">
        <v>3</v>
      </c>
      <c r="ID7" s="80" t="s">
        <v>153</v>
      </c>
      <c r="IE7">
        <v>1</v>
      </c>
      <c r="IF7">
        <f t="shared" si="5"/>
        <v>0</v>
      </c>
      <c r="II7">
        <v>1</v>
      </c>
      <c r="IN7" s="35" t="s">
        <v>195</v>
      </c>
      <c r="IO7">
        <v>1</v>
      </c>
      <c r="IP7">
        <f t="shared" si="6"/>
        <v>0</v>
      </c>
      <c r="IS7">
        <v>1</v>
      </c>
    </row>
    <row r="8" spans="1:255" ht="15.75" thickTop="1" x14ac:dyDescent="0.25">
      <c r="A8" s="35" t="s">
        <v>140</v>
      </c>
      <c r="C8">
        <v>7</v>
      </c>
      <c r="E8">
        <v>7</v>
      </c>
      <c r="K8" s="35" t="s">
        <v>140</v>
      </c>
      <c r="L8">
        <v>0</v>
      </c>
      <c r="M8">
        <v>7</v>
      </c>
      <c r="N8">
        <v>0</v>
      </c>
      <c r="O8">
        <v>7</v>
      </c>
      <c r="Q8" t="str">
        <f t="shared" si="15"/>
        <v>T212</v>
      </c>
      <c r="R8" s="61">
        <v>0.94545454545454544</v>
      </c>
      <c r="S8">
        <v>1.0181818181818181</v>
      </c>
      <c r="T8" s="62">
        <v>2.0363636363636362</v>
      </c>
      <c r="U8">
        <f t="shared" si="16"/>
        <v>4</v>
      </c>
      <c r="W8">
        <f>U16</f>
        <v>55</v>
      </c>
      <c r="X8">
        <f>COUNT(L5:L13)</f>
        <v>9</v>
      </c>
      <c r="Y8">
        <f>COUNT(L5:N5)</f>
        <v>3</v>
      </c>
      <c r="Z8">
        <f>(X8-1)*(Y8-1)</f>
        <v>16</v>
      </c>
      <c r="AE8" s="42">
        <v>4</v>
      </c>
      <c r="AF8" s="42">
        <v>-1</v>
      </c>
      <c r="AG8" s="42">
        <v>6</v>
      </c>
      <c r="AI8">
        <v>1</v>
      </c>
      <c r="AL8">
        <f t="shared" si="7"/>
        <v>7</v>
      </c>
      <c r="AM8" s="75">
        <v>1</v>
      </c>
      <c r="AO8" t="s">
        <v>251</v>
      </c>
      <c r="AP8" s="71">
        <v>2</v>
      </c>
      <c r="AT8" s="61">
        <f t="array" ref="AT8">SUM(ABS(TRANSPOSE($AE8:$AG8)-AP$2:AP$4)^$AP$8)</f>
        <v>35.189058171745145</v>
      </c>
      <c r="AU8">
        <f t="array" ref="AU8">SUM(ABS(TRANSPOSE($AE8:$AG8)-AQ$2:AQ$4)^$AP$8)</f>
        <v>453.44250000000005</v>
      </c>
      <c r="AV8" s="62">
        <f t="array" ref="AV8">SUM(ABS(TRANSPOSE($AE8:$AG8)-AR$2:AR$4)^$AP$8)</f>
        <v>75.113905325443781</v>
      </c>
      <c r="AW8" s="75">
        <f t="shared" si="2"/>
        <v>35.189058171745145</v>
      </c>
      <c r="AY8">
        <v>35.189058171745145</v>
      </c>
      <c r="AZ8">
        <v>453.44250000000005</v>
      </c>
      <c r="BA8">
        <v>75.113905325443781</v>
      </c>
      <c r="BB8">
        <v>35.189058171745145</v>
      </c>
      <c r="BH8">
        <v>7</v>
      </c>
      <c r="BI8">
        <v>4</v>
      </c>
      <c r="BJ8">
        <v>-1</v>
      </c>
      <c r="BK8">
        <v>6</v>
      </c>
      <c r="BM8" s="75">
        <v>1</v>
      </c>
      <c r="BO8">
        <v>1</v>
      </c>
      <c r="BP8">
        <v>35.189058171745145</v>
      </c>
      <c r="BZ8" s="42">
        <v>-1</v>
      </c>
      <c r="CA8" s="42">
        <v>6</v>
      </c>
      <c r="CC8">
        <v>1</v>
      </c>
      <c r="CE8">
        <f t="shared" si="11"/>
        <v>6</v>
      </c>
      <c r="CF8" s="75">
        <v>1</v>
      </c>
      <c r="CH8" t="s">
        <v>251</v>
      </c>
      <c r="CI8" s="71">
        <v>2</v>
      </c>
      <c r="CM8" s="61">
        <f t="array" ref="CM8">SUM(ABS(TRANSPOSE($BZ7:$CA7)-CI$3:CI$4)^$CI$8)</f>
        <v>7.4630177514792901</v>
      </c>
      <c r="CN8">
        <f t="array" ref="CN8">SUM(ABS(TRANSPOSE($BZ7:$CA7)-CJ$3:CJ$4)^$CI$8)</f>
        <v>8.1149691358024683</v>
      </c>
      <c r="CO8" s="62">
        <f t="array" ref="CO8">SUM(ABS(TRANSPOSE($BZ7:$CA7)-CK$3:CK$4)^$CI$8)</f>
        <v>18.225206611570243</v>
      </c>
      <c r="CP8" s="75">
        <f t="shared" si="10"/>
        <v>7.4630177514792901</v>
      </c>
      <c r="CS8">
        <v>1</v>
      </c>
      <c r="CT8">
        <v>35.189058171745145</v>
      </c>
      <c r="CV8" s="61">
        <v>23.504847645429365</v>
      </c>
      <c r="CW8">
        <v>107.84249999999999</v>
      </c>
      <c r="CX8" s="62">
        <v>15.498520710059175</v>
      </c>
      <c r="CZ8">
        <f>CV4</f>
        <v>1</v>
      </c>
      <c r="DA8">
        <f>COUNT(CV5:CV30)</f>
        <v>19</v>
      </c>
      <c r="DB8">
        <f>SUM(CV5:CV30)</f>
        <v>538.65789473684208</v>
      </c>
      <c r="DC8">
        <f>AVERAGE(CV5:CV30)</f>
        <v>28.350415512465371</v>
      </c>
      <c r="DD8">
        <f>_xlfn.VAR.S(CV5:CV30)</f>
        <v>323.60045094846981</v>
      </c>
      <c r="DE8">
        <f>DEVSQ(CV5:CV30)</f>
        <v>5824.8081170724581</v>
      </c>
      <c r="DF8">
        <f>SQRT(DC15/DA8)</f>
        <v>5.0913736471698261</v>
      </c>
      <c r="DG8">
        <f>DC8-DF8*_xlfn.T.INV.2T(DF6,DB15)</f>
        <v>18.133826849996776</v>
      </c>
      <c r="DH8">
        <f>DC8+DF8*_xlfn.T.INV.2T(DF6,DB15)</f>
        <v>38.56700417493397</v>
      </c>
      <c r="DJ8" t="s">
        <v>300</v>
      </c>
      <c r="DK8" s="61">
        <f>[1]!RANK_SUM(CV5:CX30, 1,1)</f>
        <v>609</v>
      </c>
      <c r="DL8">
        <f>[1]!RANK_SUM(CV5:CX30, 2,1)</f>
        <v>308</v>
      </c>
      <c r="DM8" s="62">
        <f>[1]!RANK_SUM(CV5:CX30, 3,1)</f>
        <v>623</v>
      </c>
      <c r="DP8">
        <f>CX4</f>
        <v>3</v>
      </c>
      <c r="DQ8">
        <f>AVERAGE(CX5:CX30)</f>
        <v>20.539940828402369</v>
      </c>
      <c r="DR8">
        <f>COUNT(CX5:CX30)</f>
        <v>26</v>
      </c>
      <c r="DS8">
        <f>DEVSQ(CX5:CX30)</f>
        <v>9456.6284706417828</v>
      </c>
      <c r="EA8">
        <f>CX4</f>
        <v>3</v>
      </c>
      <c r="EB8">
        <f>[1]!RANK_SUM(CV5:CX30,3,1)</f>
        <v>623</v>
      </c>
      <c r="EC8">
        <f>COUNT(CX5:CX30)</f>
        <v>26</v>
      </c>
      <c r="ED8">
        <f>EB8/EC8</f>
        <v>23.96153846153846</v>
      </c>
      <c r="ES8" s="75">
        <v>2</v>
      </c>
      <c r="ET8" s="49" t="s">
        <v>153</v>
      </c>
      <c r="EV8" s="35" t="s">
        <v>169</v>
      </c>
      <c r="EW8">
        <v>3</v>
      </c>
      <c r="EZ8">
        <v>3</v>
      </c>
      <c r="FC8" s="35" t="s">
        <v>169</v>
      </c>
      <c r="FD8">
        <v>3</v>
      </c>
      <c r="FE8">
        <v>0</v>
      </c>
      <c r="FF8">
        <v>0</v>
      </c>
      <c r="FG8">
        <v>3</v>
      </c>
      <c r="FI8" t="str">
        <f t="shared" si="18"/>
        <v>A1DN</v>
      </c>
      <c r="FJ8" s="61">
        <v>1.4181818181818182</v>
      </c>
      <c r="FK8">
        <v>0.98181818181818181</v>
      </c>
      <c r="FL8" s="62">
        <v>0.6</v>
      </c>
      <c r="FM8">
        <f t="shared" si="19"/>
        <v>3</v>
      </c>
      <c r="FO8">
        <f>FM29</f>
        <v>55</v>
      </c>
      <c r="FP8">
        <f>COUNT(FD4:FD25)</f>
        <v>22</v>
      </c>
      <c r="FQ8">
        <f>COUNT(FD4:FF4)</f>
        <v>3</v>
      </c>
      <c r="FR8">
        <f>(FP8-1)*(FQ8-1)</f>
        <v>42</v>
      </c>
      <c r="FV8" s="35" t="s">
        <v>169</v>
      </c>
      <c r="FW8">
        <v>3</v>
      </c>
      <c r="FZ8">
        <v>3</v>
      </c>
      <c r="GC8" s="67">
        <f>FW3</f>
        <v>1</v>
      </c>
      <c r="GD8" s="67">
        <f t="shared" ref="GD8:GE8" si="20">FX3</f>
        <v>2</v>
      </c>
      <c r="GE8" s="67">
        <f t="shared" si="20"/>
        <v>3</v>
      </c>
      <c r="GI8" s="67" t="s">
        <v>231</v>
      </c>
      <c r="GJ8" s="67" t="s">
        <v>232</v>
      </c>
      <c r="GK8" s="67" t="s">
        <v>233</v>
      </c>
      <c r="GM8" s="66"/>
      <c r="GN8" s="66" t="s">
        <v>235</v>
      </c>
      <c r="GO8" s="66" t="s">
        <v>236</v>
      </c>
      <c r="GP8" s="66" t="s">
        <v>237</v>
      </c>
      <c r="GQ8" s="66" t="s">
        <v>238</v>
      </c>
      <c r="GR8" s="66" t="s">
        <v>239</v>
      </c>
      <c r="GS8" s="66" t="s">
        <v>240</v>
      </c>
      <c r="GT8" s="66" t="s">
        <v>241</v>
      </c>
      <c r="GU8" s="66" t="s">
        <v>242</v>
      </c>
      <c r="GV8" s="66" t="s">
        <v>243</v>
      </c>
      <c r="GW8" s="66" t="s">
        <v>244</v>
      </c>
      <c r="GY8" t="str">
        <f>GM9</f>
        <v>A1DDB</v>
      </c>
      <c r="GZ8" s="58">
        <f>GR9</f>
        <v>0.82064971056926417</v>
      </c>
      <c r="HA8" s="60">
        <f>GS9</f>
        <v>0.10429519109729425</v>
      </c>
      <c r="HD8" s="79" t="s">
        <v>141</v>
      </c>
      <c r="HE8">
        <v>5</v>
      </c>
      <c r="HH8">
        <v>5</v>
      </c>
      <c r="HS8" s="79" t="s">
        <v>141</v>
      </c>
      <c r="HT8">
        <v>5</v>
      </c>
      <c r="HU8">
        <f t="shared" si="4"/>
        <v>0</v>
      </c>
      <c r="HX8">
        <v>5</v>
      </c>
      <c r="ID8" s="80" t="s">
        <v>157</v>
      </c>
      <c r="IE8">
        <v>4</v>
      </c>
      <c r="IF8">
        <f t="shared" si="5"/>
        <v>0</v>
      </c>
      <c r="II8">
        <v>4</v>
      </c>
      <c r="IN8" s="35" t="s">
        <v>193</v>
      </c>
      <c r="IO8">
        <v>1</v>
      </c>
      <c r="IP8">
        <f t="shared" si="6"/>
        <v>0</v>
      </c>
      <c r="IS8">
        <v>1</v>
      </c>
    </row>
    <row r="9" spans="1:255" x14ac:dyDescent="0.25">
      <c r="A9" s="35" t="s">
        <v>181</v>
      </c>
      <c r="C9">
        <v>5</v>
      </c>
      <c r="E9">
        <v>5</v>
      </c>
      <c r="K9" s="35" t="s">
        <v>181</v>
      </c>
      <c r="L9">
        <v>0</v>
      </c>
      <c r="M9">
        <v>5</v>
      </c>
      <c r="N9">
        <v>0</v>
      </c>
      <c r="O9">
        <v>5</v>
      </c>
      <c r="Q9" t="str">
        <f t="shared" si="15"/>
        <v>T213</v>
      </c>
      <c r="R9" s="61">
        <v>0.70909090909090911</v>
      </c>
      <c r="S9">
        <v>0.76363636363636367</v>
      </c>
      <c r="T9" s="62">
        <v>1.5272727272727273</v>
      </c>
      <c r="U9">
        <f t="shared" si="16"/>
        <v>3</v>
      </c>
      <c r="AE9" s="42">
        <v>-6</v>
      </c>
      <c r="AF9" s="42">
        <v>5</v>
      </c>
      <c r="AG9" s="42">
        <v>5</v>
      </c>
      <c r="AI9">
        <v>3</v>
      </c>
      <c r="AL9">
        <f t="shared" si="7"/>
        <v>8</v>
      </c>
      <c r="AM9" s="75">
        <v>3</v>
      </c>
      <c r="AT9" s="61">
        <f t="array" ref="AT9">SUM(ABS(TRANSPOSE($AE9:$AG9)-AP$2:AP$4)^$AP$8)</f>
        <v>151.97853185595568</v>
      </c>
      <c r="AU9">
        <f t="array" ref="AU9">SUM(ABS(TRANSPOSE($AE9:$AG9)-AQ$2:AQ$4)^$AP$8)</f>
        <v>110.44250000000002</v>
      </c>
      <c r="AV9" s="62">
        <f t="array" ref="AV9">SUM(ABS(TRANSPOSE($AE9:$AG9)-AR$2:AR$4)^$AP$8)</f>
        <v>14.806213017751478</v>
      </c>
      <c r="AW9" s="75">
        <f t="shared" si="2"/>
        <v>14.806213017751478</v>
      </c>
      <c r="AY9">
        <v>151.97853185595568</v>
      </c>
      <c r="AZ9">
        <v>110.44250000000002</v>
      </c>
      <c r="BA9">
        <v>14.806213017751478</v>
      </c>
      <c r="BB9">
        <v>14.806213017751478</v>
      </c>
      <c r="BH9">
        <v>8</v>
      </c>
      <c r="BI9">
        <v>-6</v>
      </c>
      <c r="BJ9">
        <v>5</v>
      </c>
      <c r="BK9">
        <v>5</v>
      </c>
      <c r="BM9" s="75">
        <v>3</v>
      </c>
      <c r="BO9">
        <v>3</v>
      </c>
      <c r="BP9">
        <v>14.806213017751478</v>
      </c>
      <c r="BZ9" s="42">
        <v>5</v>
      </c>
      <c r="CA9" s="42">
        <v>5</v>
      </c>
      <c r="CC9">
        <v>3</v>
      </c>
      <c r="CE9">
        <f t="shared" si="11"/>
        <v>7</v>
      </c>
      <c r="CF9" s="75">
        <v>2</v>
      </c>
      <c r="CM9" s="61">
        <f t="array" ref="CM9">SUM(ABS(TRANSPOSE($BZ8:$CA8)-CI$3:CI$4)^$CI$8)</f>
        <v>60.828402366863898</v>
      </c>
      <c r="CN9">
        <f t="array" ref="CN9">SUM(ABS(TRANSPOSE($BZ8:$CA8)-CJ$3:CJ$4)^$CI$8)</f>
        <v>7.2816358024691352</v>
      </c>
      <c r="CO9" s="62">
        <f t="array" ref="CO9">SUM(ABS(TRANSPOSE($BZ8:$CA8)-CK$3:CK$4)^$CI$8)</f>
        <v>19.247933884297517</v>
      </c>
      <c r="CP9" s="75">
        <f t="shared" si="10"/>
        <v>7.2816358024691352</v>
      </c>
      <c r="CS9">
        <v>3</v>
      </c>
      <c r="CT9">
        <v>14.806213017751478</v>
      </c>
      <c r="CV9" s="61">
        <v>11.491689750692519</v>
      </c>
      <c r="CW9">
        <v>50.742500000000021</v>
      </c>
      <c r="CX9" s="62">
        <v>24.210059171597631</v>
      </c>
      <c r="CZ9">
        <f>CW4</f>
        <v>2</v>
      </c>
      <c r="DA9">
        <f>COUNT(CW5:CW30)</f>
        <v>10</v>
      </c>
      <c r="DB9">
        <f>SUM(CW5:CW30)</f>
        <v>345.82499999999999</v>
      </c>
      <c r="DC9">
        <f>AVERAGE(CW5:CW30)</f>
        <v>34.582499999999996</v>
      </c>
      <c r="DD9">
        <f>_xlfn.VAR.S(CW5:CW30)</f>
        <v>1147.7315555555556</v>
      </c>
      <c r="DE9">
        <f>DEVSQ(CW5:CW30)</f>
        <v>10329.583999999997</v>
      </c>
      <c r="DF9">
        <f>SQRT(DC15/DA9)</f>
        <v>7.0179742567696284</v>
      </c>
      <c r="DG9">
        <f>DC9-DF9*_xlfn.T.INV.2T(DF6,DB15)</f>
        <v>20.499904379648058</v>
      </c>
      <c r="DH9">
        <f>DC9+DF9*_xlfn.T.INV.2T(DF6,DB15)</f>
        <v>48.665095620351934</v>
      </c>
      <c r="DJ9" t="s">
        <v>301</v>
      </c>
      <c r="DK9" s="61">
        <f>COUNT(CV5:CV30)</f>
        <v>19</v>
      </c>
      <c r="DL9">
        <f t="shared" ref="DL9:DM9" si="21">COUNT(CW5:CW30)</f>
        <v>10</v>
      </c>
      <c r="DM9" s="62">
        <f t="shared" si="21"/>
        <v>26</v>
      </c>
      <c r="DN9" s="74">
        <f>SUM(DK9:DM9)</f>
        <v>55</v>
      </c>
      <c r="DP9" s="54"/>
      <c r="DQ9" s="54"/>
      <c r="DR9" s="54">
        <f>SUM(DR6:DR8)</f>
        <v>55</v>
      </c>
      <c r="DS9" s="54">
        <f>SUM(DS6:DS8)</f>
        <v>25611.020587714236</v>
      </c>
      <c r="DT9" s="54">
        <f>DR9-COUNT(DR6:DR8)</f>
        <v>52</v>
      </c>
      <c r="DU9" s="54">
        <f>[1]!QCRIT(COUNT(DR6:DR8),DT9,DT4,2)</f>
        <v>3.4119230769230771</v>
      </c>
      <c r="EA9" s="54"/>
      <c r="EB9" s="54"/>
      <c r="EC9" s="54">
        <f>SUM(EC6:EC8)</f>
        <v>55</v>
      </c>
      <c r="ED9" s="54"/>
      <c r="EE9" s="54">
        <f>[1]!QCRIT(COUNT(EC6:EC8),,EE4,2)</f>
        <v>3.3140000000000001</v>
      </c>
      <c r="ES9" s="75">
        <v>1</v>
      </c>
      <c r="ET9" s="49" t="s">
        <v>155</v>
      </c>
      <c r="EV9" s="35" t="s">
        <v>175</v>
      </c>
      <c r="EX9">
        <v>1</v>
      </c>
      <c r="EZ9">
        <v>1</v>
      </c>
      <c r="FC9" s="35" t="s">
        <v>175</v>
      </c>
      <c r="FD9">
        <v>0</v>
      </c>
      <c r="FE9">
        <v>1</v>
      </c>
      <c r="FF9">
        <v>0</v>
      </c>
      <c r="FG9">
        <v>1</v>
      </c>
      <c r="FI9" t="str">
        <f t="shared" si="18"/>
        <v>A1DOB</v>
      </c>
      <c r="FJ9" s="61">
        <v>0.94545454545454544</v>
      </c>
      <c r="FK9">
        <v>0.65454545454545454</v>
      </c>
      <c r="FL9" s="62">
        <v>0.4</v>
      </c>
      <c r="FM9">
        <f t="shared" si="19"/>
        <v>2</v>
      </c>
      <c r="FV9" s="35" t="s">
        <v>175</v>
      </c>
      <c r="FX9">
        <v>1</v>
      </c>
      <c r="FZ9">
        <v>1</v>
      </c>
      <c r="GB9" t="str">
        <f>FV4</f>
        <v>A1DDB</v>
      </c>
      <c r="GC9" s="58">
        <f>FW4/$GF$31</f>
        <v>0</v>
      </c>
      <c r="GD9" s="59">
        <f t="shared" ref="GD9:GE9" si="22">FX4/$GF$31</f>
        <v>2.1739130434782608E-2</v>
      </c>
      <c r="GE9" s="60">
        <f t="shared" si="22"/>
        <v>2.1739130434782608E-2</v>
      </c>
      <c r="GF9">
        <f>SUM(GC9:GE9)</f>
        <v>4.3478260869565216E-2</v>
      </c>
      <c r="GH9">
        <v>1</v>
      </c>
      <c r="GI9" s="58">
        <f t="array" ref="GI9:GI10">[1]!CAEigen(FW4:FY25)</f>
        <v>0.92040562475143228</v>
      </c>
      <c r="GJ9" s="59">
        <f>100*GI9/GI$11</f>
        <v>53.509058975445242</v>
      </c>
      <c r="GK9" s="60">
        <f>GJ9</f>
        <v>53.509058975445242</v>
      </c>
      <c r="GM9" t="str">
        <f>GB9</f>
        <v>A1DDB</v>
      </c>
      <c r="GN9">
        <f>GT9+GU9</f>
        <v>1.0000000000000058</v>
      </c>
      <c r="GO9">
        <f>GF9</f>
        <v>4.3478260869565216E-2</v>
      </c>
      <c r="GP9">
        <f>SUMPRODUCT((GC9:GE9/GO9-GC$31:GE$31)^2/GC$31:GE$31)</f>
        <v>0.68434343434343425</v>
      </c>
      <c r="GQ9">
        <f>(GO9*GP9)/GQ$31</f>
        <v>1.7297937288875926E-2</v>
      </c>
      <c r="GR9">
        <f t="array" ref="GR9:GS30">[1]!CARowFactors(FW4:FY25)</f>
        <v>0.82064971056926417</v>
      </c>
      <c r="GS9">
        <v>0.10429519109729425</v>
      </c>
      <c r="GT9">
        <f>GR9^2/GP9</f>
        <v>0.98410522211489737</v>
      </c>
      <c r="GU9">
        <f>GS9^2/GP9</f>
        <v>1.5894777885108364E-2</v>
      </c>
      <c r="GV9">
        <f>GO9*GR9^2/GI$9</f>
        <v>3.1813286841038416E-2</v>
      </c>
      <c r="GW9">
        <f>GO9*GS9^2/GI$10</f>
        <v>5.9139880806456408E-4</v>
      </c>
      <c r="GY9" t="str">
        <f t="shared" ref="GY9:GY29" si="23">GM10</f>
        <v>A1DN</v>
      </c>
      <c r="GZ9" s="61">
        <f t="shared" ref="GZ9:GZ29" si="24">GR10</f>
        <v>0.18166840863353506</v>
      </c>
      <c r="HA9" s="62">
        <f t="shared" ref="HA9:HA29" si="25">GS10</f>
        <v>1.2339173979080276</v>
      </c>
      <c r="HD9" s="79" t="s">
        <v>150</v>
      </c>
      <c r="HE9">
        <v>1</v>
      </c>
      <c r="HH9">
        <v>1</v>
      </c>
      <c r="HS9" s="79" t="s">
        <v>150</v>
      </c>
      <c r="HT9">
        <v>1</v>
      </c>
      <c r="HU9">
        <f t="shared" si="4"/>
        <v>0</v>
      </c>
      <c r="HX9">
        <v>1</v>
      </c>
      <c r="ID9" s="80" t="s">
        <v>323</v>
      </c>
      <c r="IE9">
        <f>+IE25-SUM(IE2:IE8)</f>
        <v>2</v>
      </c>
      <c r="IF9">
        <f>+IG25+IH25-SUM(IF2:IF8)</f>
        <v>35</v>
      </c>
      <c r="IN9" s="35" t="s">
        <v>323</v>
      </c>
      <c r="IO9">
        <f>+IO25-SUM(IO2:IO8)</f>
        <v>2</v>
      </c>
      <c r="IP9">
        <f>+IQ25+IR25-SUM(IP2:IP8)</f>
        <v>44</v>
      </c>
    </row>
    <row r="10" spans="1:255" ht="15.75" thickBot="1" x14ac:dyDescent="0.3">
      <c r="A10" s="35" t="s">
        <v>152</v>
      </c>
      <c r="C10">
        <v>2</v>
      </c>
      <c r="E10">
        <v>2</v>
      </c>
      <c r="K10" s="35" t="s">
        <v>152</v>
      </c>
      <c r="L10">
        <v>0</v>
      </c>
      <c r="M10">
        <v>2</v>
      </c>
      <c r="N10">
        <v>0</v>
      </c>
      <c r="O10">
        <v>2</v>
      </c>
      <c r="Q10" t="str">
        <f t="shared" si="15"/>
        <v>T221</v>
      </c>
      <c r="R10" s="61">
        <v>1.6545454545454545</v>
      </c>
      <c r="S10">
        <v>1.7818181818181817</v>
      </c>
      <c r="T10" s="62">
        <v>3.5636363636363635</v>
      </c>
      <c r="U10">
        <f t="shared" si="16"/>
        <v>7</v>
      </c>
      <c r="W10" t="s">
        <v>219</v>
      </c>
      <c r="AE10" s="10">
        <v>-2</v>
      </c>
      <c r="AF10" s="10">
        <v>4</v>
      </c>
      <c r="AG10" s="10">
        <v>5</v>
      </c>
      <c r="AI10">
        <v>2</v>
      </c>
      <c r="AL10">
        <f t="shared" si="7"/>
        <v>9</v>
      </c>
      <c r="AM10" s="75">
        <v>3</v>
      </c>
      <c r="AO10" t="s">
        <v>252</v>
      </c>
      <c r="AP10" s="73" t="s">
        <v>253</v>
      </c>
      <c r="AT10" s="61">
        <f t="array" ref="AT10">SUM(ABS(TRANSPOSE($AE10:$AG10)-AP$2:AP$4)^$AP$8)</f>
        <v>69.189058171745145</v>
      </c>
      <c r="AU10">
        <f t="array" ref="AU10">SUM(ABS(TRANSPOSE($AE10:$AG10)-AQ$2:AQ$4)^$AP$8)</f>
        <v>207.94250000000002</v>
      </c>
      <c r="AV10" s="62">
        <f t="array" ref="AV10">SUM(ABS(TRANSPOSE($AE10:$AG10)-AR$2:AR$4)^$AP$8)</f>
        <v>7.8062130177514799</v>
      </c>
      <c r="AW10" s="75">
        <f t="shared" si="2"/>
        <v>7.8062130177514799</v>
      </c>
      <c r="AY10">
        <v>69.189058171745145</v>
      </c>
      <c r="AZ10">
        <v>207.94250000000002</v>
      </c>
      <c r="BA10">
        <v>7.8062130177514799</v>
      </c>
      <c r="BB10">
        <v>7.8062130177514799</v>
      </c>
      <c r="BH10">
        <v>9</v>
      </c>
      <c r="BI10">
        <v>-2</v>
      </c>
      <c r="BJ10">
        <v>4</v>
      </c>
      <c r="BK10">
        <v>5</v>
      </c>
      <c r="BM10" s="75">
        <v>3</v>
      </c>
      <c r="BO10">
        <v>3</v>
      </c>
      <c r="BP10">
        <v>7.8062130177514799</v>
      </c>
      <c r="BZ10" s="10">
        <v>4</v>
      </c>
      <c r="CA10" s="10">
        <v>5</v>
      </c>
      <c r="CC10">
        <v>2</v>
      </c>
      <c r="CE10">
        <f t="shared" si="11"/>
        <v>8</v>
      </c>
      <c r="CF10" s="75">
        <v>1</v>
      </c>
      <c r="CH10" t="s">
        <v>252</v>
      </c>
      <c r="CI10" s="73" t="s">
        <v>253</v>
      </c>
      <c r="CM10" s="61">
        <f t="array" ref="CM10">SUM(ABS(TRANSPOSE($BZ9:$CA9)-CI$3:CI$4)^$CI$8)</f>
        <v>5.2130177514792893</v>
      </c>
      <c r="CN10">
        <f t="array" ref="CN10">SUM(ABS(TRANSPOSE($BZ9:$CA9)-CJ$3:CJ$4)^$CI$8)</f>
        <v>12.059413580246915</v>
      </c>
      <c r="CO10" s="62">
        <f t="array" ref="CO10">SUM(ABS(TRANSPOSE($BZ9:$CA9)-CK$3:CK$4)^$CI$8)</f>
        <v>42.06611570247933</v>
      </c>
      <c r="CP10" s="75">
        <f t="shared" si="10"/>
        <v>5.2130177514792893</v>
      </c>
      <c r="CS10">
        <v>3</v>
      </c>
      <c r="CT10">
        <v>7.8062130177514799</v>
      </c>
      <c r="CV10" s="61">
        <v>35.189058171745145</v>
      </c>
      <c r="CW10">
        <v>45.942499999999988</v>
      </c>
      <c r="CX10" s="62">
        <v>0.671597633136095</v>
      </c>
      <c r="CZ10">
        <f>CX4</f>
        <v>3</v>
      </c>
      <c r="DA10">
        <f>COUNT(CX5:CX30)</f>
        <v>26</v>
      </c>
      <c r="DB10">
        <f>SUM(CX5:CX30)</f>
        <v>534.03846153846155</v>
      </c>
      <c r="DC10">
        <f>AVERAGE(CX5:CX30)</f>
        <v>20.539940828402369</v>
      </c>
      <c r="DD10">
        <f>_xlfn.VAR.S(CX5:CX30)</f>
        <v>378.26513882567122</v>
      </c>
      <c r="DE10">
        <f>DEVSQ(CX5:CX30)</f>
        <v>9456.6284706417828</v>
      </c>
      <c r="DF10">
        <f>SQRT(DC15/DA10)</f>
        <v>4.3523628714615921</v>
      </c>
      <c r="DG10">
        <f>DC10-DF10*_xlfn.T.INV.2T(DF6,DB15)</f>
        <v>11.806285777914859</v>
      </c>
      <c r="DH10">
        <f>DC10+DF10*_xlfn.T.INV.2T(DF6,DB15)</f>
        <v>29.273595878889878</v>
      </c>
      <c r="DJ10" t="s">
        <v>302</v>
      </c>
      <c r="DK10" s="63">
        <f>DK8^2/DK9</f>
        <v>19520.052631578947</v>
      </c>
      <c r="DL10" s="64">
        <f t="shared" ref="DL10:DM10" si="26">DL8^2/DL9</f>
        <v>9486.4</v>
      </c>
      <c r="DM10" s="65">
        <f t="shared" si="26"/>
        <v>14928.038461538461</v>
      </c>
      <c r="DN10" s="75">
        <f>SUM(DK10:DM10)</f>
        <v>43934.491093117409</v>
      </c>
      <c r="DP10" t="s">
        <v>289</v>
      </c>
      <c r="EA10" t="s">
        <v>289</v>
      </c>
      <c r="ES10" s="75">
        <v>2</v>
      </c>
      <c r="ET10" s="49" t="s">
        <v>155</v>
      </c>
      <c r="EV10" s="35" t="s">
        <v>173</v>
      </c>
      <c r="EY10">
        <v>1</v>
      </c>
      <c r="EZ10">
        <v>1</v>
      </c>
      <c r="FC10" s="35" t="s">
        <v>173</v>
      </c>
      <c r="FD10">
        <v>0</v>
      </c>
      <c r="FE10">
        <v>0</v>
      </c>
      <c r="FF10">
        <v>1</v>
      </c>
      <c r="FG10">
        <v>1</v>
      </c>
      <c r="FI10" t="str">
        <f t="shared" si="18"/>
        <v>A1NN</v>
      </c>
      <c r="FJ10" s="61">
        <v>0.94545454545454544</v>
      </c>
      <c r="FK10">
        <v>0.65454545454545454</v>
      </c>
      <c r="FL10" s="62">
        <v>0.4</v>
      </c>
      <c r="FM10">
        <f t="shared" si="19"/>
        <v>2</v>
      </c>
      <c r="FO10" t="s">
        <v>219</v>
      </c>
      <c r="FV10" s="35" t="s">
        <v>173</v>
      </c>
      <c r="FY10">
        <v>1</v>
      </c>
      <c r="FZ10">
        <v>1</v>
      </c>
      <c r="GB10" t="str">
        <f t="shared" ref="GB10:GB30" si="27">FV5</f>
        <v>A1DN</v>
      </c>
      <c r="GC10" s="61">
        <f t="shared" ref="GC10:GC30" si="28">FW5/$GF$31</f>
        <v>0</v>
      </c>
      <c r="GD10">
        <f t="shared" ref="GD10:GD30" si="29">FX5/$GF$31</f>
        <v>6.5217391304347824E-2</v>
      </c>
      <c r="GE10" s="62">
        <f t="shared" ref="GE10:GE30" si="30">FY5/$GF$31</f>
        <v>0</v>
      </c>
      <c r="GF10">
        <f t="shared" ref="GF10:GF30" si="31">SUM(GC10:GE10)</f>
        <v>6.5217391304347824E-2</v>
      </c>
      <c r="GH10">
        <f>GH9+1</f>
        <v>2</v>
      </c>
      <c r="GI10" s="63">
        <v>0.79968746298871474</v>
      </c>
      <c r="GJ10" s="64">
        <f>100*GI10/GI$11</f>
        <v>46.490941024554765</v>
      </c>
      <c r="GK10" s="65">
        <f>GJ10+GK9</f>
        <v>100</v>
      </c>
      <c r="GM10" t="str">
        <f t="shared" ref="GM10:GM30" si="32">GB10</f>
        <v>A1DN</v>
      </c>
      <c r="GN10">
        <f t="shared" ref="GN10:GN30" si="33">GT10+GU10</f>
        <v>1.000000000000002</v>
      </c>
      <c r="GO10">
        <f t="shared" ref="GO10:GO30" si="34">GF10</f>
        <v>6.5217391304347824E-2</v>
      </c>
      <c r="GP10">
        <f t="shared" ref="GP10:GP30" si="35">SUMPRODUCT((GC10:GE10/GO10-GC$31:GE$31)^2/GC$31:GE$31)</f>
        <v>1.5555555555555556</v>
      </c>
      <c r="GQ10">
        <f t="shared" ref="GQ10:GQ30" si="36">(GO10*GP10)/GQ$31</f>
        <v>5.8978944852108327E-2</v>
      </c>
      <c r="GR10">
        <v>0.18166840863353506</v>
      </c>
      <c r="GS10">
        <v>1.2339173979080276</v>
      </c>
      <c r="GT10">
        <f t="shared" ref="GT10:GT30" si="37">GR10^2/GP10</f>
        <v>2.1216478304212121E-2</v>
      </c>
      <c r="GU10">
        <f t="shared" ref="GU10:GU30" si="38">GS10^2/GP10</f>
        <v>0.97878352169578986</v>
      </c>
      <c r="GV10">
        <f t="shared" ref="GV10:GV30" si="39">GO10*GR10^2/GI$9</f>
        <v>2.3385301999691299E-3</v>
      </c>
      <c r="GW10">
        <f t="shared" ref="GW10:GW30" si="40">GO10*GS10^2/GI$10</f>
        <v>0.1241696082635944</v>
      </c>
      <c r="GY10" t="str">
        <f t="shared" si="23"/>
        <v>A1DOB</v>
      </c>
      <c r="GZ10" s="61">
        <f t="shared" si="24"/>
        <v>-1.1368219113504965</v>
      </c>
      <c r="HA10" s="62">
        <f t="shared" si="25"/>
        <v>-0.64305388173509659</v>
      </c>
      <c r="HD10" s="80" t="s">
        <v>177</v>
      </c>
      <c r="HF10">
        <v>1</v>
      </c>
      <c r="HG10">
        <v>1</v>
      </c>
      <c r="HH10">
        <v>2</v>
      </c>
      <c r="HS10" s="79" t="s">
        <v>323</v>
      </c>
      <c r="HT10">
        <f>+HT25-SUM(HT2:HT9)</f>
        <v>9</v>
      </c>
      <c r="HU10">
        <f>+HV25+HW25-SUM(HU2:HU9)</f>
        <v>27</v>
      </c>
      <c r="ID10" s="79" t="s">
        <v>188</v>
      </c>
      <c r="IG10">
        <v>2</v>
      </c>
      <c r="II10">
        <v>2</v>
      </c>
      <c r="IN10" s="79" t="s">
        <v>188</v>
      </c>
      <c r="IQ10">
        <v>2</v>
      </c>
      <c r="IS10">
        <v>2</v>
      </c>
    </row>
    <row r="11" spans="1:255" ht="15.75" thickTop="1" x14ac:dyDescent="0.25">
      <c r="A11" s="35" t="s">
        <v>144</v>
      </c>
      <c r="D11">
        <v>16</v>
      </c>
      <c r="E11">
        <v>16</v>
      </c>
      <c r="K11" s="35" t="s">
        <v>144</v>
      </c>
      <c r="L11">
        <v>0</v>
      </c>
      <c r="M11">
        <v>0</v>
      </c>
      <c r="N11">
        <v>16</v>
      </c>
      <c r="O11">
        <v>16</v>
      </c>
      <c r="Q11" t="str">
        <f t="shared" si="15"/>
        <v>T222</v>
      </c>
      <c r="R11" s="61">
        <v>1.1818181818181819</v>
      </c>
      <c r="S11">
        <v>1.2727272727272727</v>
      </c>
      <c r="T11" s="62">
        <v>2.5454545454545454</v>
      </c>
      <c r="U11">
        <f t="shared" si="16"/>
        <v>5</v>
      </c>
      <c r="W11" s="66" t="s">
        <v>220</v>
      </c>
      <c r="X11" s="66" t="s">
        <v>221</v>
      </c>
      <c r="Y11" s="66" t="s">
        <v>222</v>
      </c>
      <c r="Z11" s="66" t="s">
        <v>223</v>
      </c>
      <c r="AA11" s="66" t="s">
        <v>224</v>
      </c>
      <c r="AB11" s="66" t="s">
        <v>225</v>
      </c>
      <c r="AE11" s="10">
        <v>0</v>
      </c>
      <c r="AF11" s="10">
        <v>2</v>
      </c>
      <c r="AG11" s="10">
        <v>5</v>
      </c>
      <c r="AI11">
        <v>1</v>
      </c>
      <c r="AL11">
        <f t="shared" si="7"/>
        <v>10</v>
      </c>
      <c r="AM11" s="75">
        <v>3</v>
      </c>
      <c r="AT11" s="61">
        <f t="array" ref="AT11">SUM(ABS(TRANSPOSE($AE11:$AG11)-AP$2:AP$4)^$AP$8)</f>
        <v>44.452216066481981</v>
      </c>
      <c r="AU11">
        <f t="array" ref="AU11">SUM(ABS(TRANSPOSE($AE11:$AG11)-AQ$2:AQ$4)^$AP$8)</f>
        <v>275.74250000000006</v>
      </c>
      <c r="AV11" s="62">
        <f t="array" ref="AV11">SUM(ABS(TRANSPOSE($AE11:$AG11)-AR$2:AR$4)^$AP$8)</f>
        <v>15.498520710059175</v>
      </c>
      <c r="AW11" s="75">
        <f t="shared" si="2"/>
        <v>15.498520710059175</v>
      </c>
      <c r="AY11">
        <v>44.452216066481981</v>
      </c>
      <c r="AZ11">
        <v>275.74250000000006</v>
      </c>
      <c r="BA11">
        <v>15.498520710059175</v>
      </c>
      <c r="BB11">
        <v>15.498520710059175</v>
      </c>
      <c r="BH11">
        <v>10</v>
      </c>
      <c r="BI11">
        <v>0</v>
      </c>
      <c r="BJ11">
        <v>2</v>
      </c>
      <c r="BK11">
        <v>5</v>
      </c>
      <c r="BM11" s="75">
        <v>3</v>
      </c>
      <c r="BO11">
        <v>3</v>
      </c>
      <c r="BP11">
        <v>15.498520710059175</v>
      </c>
      <c r="BZ11" s="10">
        <v>2</v>
      </c>
      <c r="CA11" s="10">
        <v>5</v>
      </c>
      <c r="CC11">
        <v>1</v>
      </c>
      <c r="CE11">
        <f t="shared" si="11"/>
        <v>9</v>
      </c>
      <c r="CF11" s="75">
        <v>2</v>
      </c>
      <c r="CM11" s="61">
        <f t="array" ref="CM11">SUM(ABS(TRANSPOSE($BZ10:$CA10)-CI$3:CI$4)^$CI$8)</f>
        <v>8.67455621301775</v>
      </c>
      <c r="CN11">
        <f t="array" ref="CN11">SUM(ABS(TRANSPOSE($BZ10:$CA10)-CJ$3:CJ$4)^$CI$8)</f>
        <v>6.1149691358024691</v>
      </c>
      <c r="CO11" s="62">
        <f t="array" ref="CO11">SUM(ABS(TRANSPOSE($BZ10:$CA10)-CK$3:CK$4)^$CI$8)</f>
        <v>31.97520661157024</v>
      </c>
      <c r="CP11" s="75">
        <f t="shared" si="10"/>
        <v>6.1149691358024691</v>
      </c>
      <c r="CS11">
        <v>3</v>
      </c>
      <c r="CT11">
        <v>15.498520710059175</v>
      </c>
      <c r="CV11" s="61">
        <v>40.439058171745145</v>
      </c>
      <c r="CW11">
        <v>4.2500000000000406E-2</v>
      </c>
      <c r="CX11" s="62">
        <v>20.960059171597631</v>
      </c>
      <c r="CZ11" s="54"/>
      <c r="DA11" s="54"/>
      <c r="DB11" s="54"/>
      <c r="DC11" s="54"/>
      <c r="DD11" s="54"/>
      <c r="DE11" s="54"/>
      <c r="DF11" s="54"/>
      <c r="DG11" s="54"/>
      <c r="DH11" s="54"/>
      <c r="DJ11" t="s">
        <v>303</v>
      </c>
      <c r="DN11" s="75">
        <f>12*DN10/(DN9*(DN9+1))-3*(DN9+1)</f>
        <v>3.1733419212366698</v>
      </c>
      <c r="DP11" s="66" t="s">
        <v>290</v>
      </c>
      <c r="DQ11" s="66" t="s">
        <v>291</v>
      </c>
      <c r="DR11" s="66" t="s">
        <v>285</v>
      </c>
      <c r="DS11" s="66" t="s">
        <v>292</v>
      </c>
      <c r="DT11" s="66" t="s">
        <v>293</v>
      </c>
      <c r="DU11" s="66" t="s">
        <v>294</v>
      </c>
      <c r="DV11" s="66" t="s">
        <v>295</v>
      </c>
      <c r="DW11" s="66" t="s">
        <v>222</v>
      </c>
      <c r="DX11" s="66" t="s">
        <v>296</v>
      </c>
      <c r="DY11" s="66" t="s">
        <v>297</v>
      </c>
      <c r="EA11" s="66" t="s">
        <v>290</v>
      </c>
      <c r="EB11" s="66" t="s">
        <v>291</v>
      </c>
      <c r="EC11" s="66" t="s">
        <v>315</v>
      </c>
      <c r="ED11" s="66" t="s">
        <v>292</v>
      </c>
      <c r="EE11" s="66" t="s">
        <v>293</v>
      </c>
      <c r="EF11" s="66" t="s">
        <v>222</v>
      </c>
      <c r="EG11" s="66" t="s">
        <v>316</v>
      </c>
      <c r="ES11" s="75">
        <v>2</v>
      </c>
      <c r="ET11" s="49" t="s">
        <v>157</v>
      </c>
      <c r="EV11" s="35" t="s">
        <v>147</v>
      </c>
      <c r="EW11">
        <v>1</v>
      </c>
      <c r="EZ11">
        <v>1</v>
      </c>
      <c r="FC11" s="35" t="s">
        <v>147</v>
      </c>
      <c r="FD11">
        <v>1</v>
      </c>
      <c r="FE11">
        <v>0</v>
      </c>
      <c r="FF11">
        <v>0</v>
      </c>
      <c r="FG11">
        <v>1</v>
      </c>
      <c r="FI11" t="str">
        <f t="shared" si="18"/>
        <v>A1NOB</v>
      </c>
      <c r="FJ11" s="61">
        <v>1.4181818181818182</v>
      </c>
      <c r="FK11">
        <v>0.98181818181818181</v>
      </c>
      <c r="FL11" s="62">
        <v>0.6</v>
      </c>
      <c r="FM11">
        <f t="shared" si="19"/>
        <v>3</v>
      </c>
      <c r="FO11" s="66" t="s">
        <v>220</v>
      </c>
      <c r="FP11" s="66" t="s">
        <v>221</v>
      </c>
      <c r="FQ11" s="66" t="s">
        <v>222</v>
      </c>
      <c r="FR11" s="66" t="s">
        <v>223</v>
      </c>
      <c r="FS11" s="66" t="s">
        <v>224</v>
      </c>
      <c r="FT11" s="66" t="s">
        <v>225</v>
      </c>
      <c r="FV11" s="35" t="s">
        <v>147</v>
      </c>
      <c r="FW11">
        <v>1</v>
      </c>
      <c r="FZ11">
        <v>1</v>
      </c>
      <c r="GB11" t="str">
        <f t="shared" si="27"/>
        <v>A1DOB</v>
      </c>
      <c r="GC11" s="61">
        <f t="shared" si="28"/>
        <v>4.3478260869565216E-2</v>
      </c>
      <c r="GD11">
        <f t="shared" si="29"/>
        <v>0</v>
      </c>
      <c r="GE11" s="62">
        <f t="shared" si="30"/>
        <v>0</v>
      </c>
      <c r="GF11">
        <f t="shared" si="31"/>
        <v>4.3478260869565216E-2</v>
      </c>
      <c r="GI11">
        <f>SUM(GI9:GI10)</f>
        <v>1.720093087740147</v>
      </c>
      <c r="GM11" t="str">
        <f t="shared" si="32"/>
        <v>A1DOB</v>
      </c>
      <c r="GN11">
        <f t="shared" si="33"/>
        <v>0.99999999999999722</v>
      </c>
      <c r="GO11">
        <f t="shared" si="34"/>
        <v>4.3478260869565216E-2</v>
      </c>
      <c r="GP11">
        <f t="shared" si="35"/>
        <v>1.7058823529411764</v>
      </c>
      <c r="GQ11">
        <f t="shared" si="36"/>
        <v>4.3119060522129618E-2</v>
      </c>
      <c r="GR11">
        <v>-1.1368219113504965</v>
      </c>
      <c r="GS11">
        <v>-0.64305388173509659</v>
      </c>
      <c r="GT11">
        <f t="shared" si="37"/>
        <v>0.75759272372938391</v>
      </c>
      <c r="GU11">
        <f t="shared" si="38"/>
        <v>0.24240727627061329</v>
      </c>
      <c r="GV11">
        <f t="shared" si="39"/>
        <v>6.1048889909655721E-2</v>
      </c>
      <c r="GW11">
        <f t="shared" si="40"/>
        <v>2.2482603677556487E-2</v>
      </c>
      <c r="GY11" t="str">
        <f t="shared" si="23"/>
        <v>A1NN</v>
      </c>
      <c r="GZ11" s="61">
        <f t="shared" si="24"/>
        <v>0.82064971056926461</v>
      </c>
      <c r="HA11" s="62">
        <f t="shared" si="25"/>
        <v>0.10429519109729321</v>
      </c>
      <c r="HD11" s="80" t="s">
        <v>164</v>
      </c>
      <c r="HF11">
        <v>3</v>
      </c>
      <c r="HH11">
        <v>3</v>
      </c>
      <c r="HS11" s="80" t="s">
        <v>177</v>
      </c>
      <c r="HV11">
        <v>1</v>
      </c>
      <c r="HW11">
        <v>1</v>
      </c>
      <c r="HX11">
        <v>2</v>
      </c>
      <c r="ID11" s="79" t="s">
        <v>169</v>
      </c>
      <c r="IG11">
        <v>3</v>
      </c>
      <c r="II11">
        <v>3</v>
      </c>
      <c r="IN11" s="79" t="s">
        <v>169</v>
      </c>
      <c r="IQ11">
        <v>3</v>
      </c>
      <c r="IS11">
        <v>3</v>
      </c>
    </row>
    <row r="12" spans="1:255" ht="15.75" thickBot="1" x14ac:dyDescent="0.3">
      <c r="A12" s="35" t="s">
        <v>161</v>
      </c>
      <c r="D12">
        <v>7</v>
      </c>
      <c r="E12">
        <v>7</v>
      </c>
      <c r="K12" s="35" t="s">
        <v>161</v>
      </c>
      <c r="L12">
        <v>0</v>
      </c>
      <c r="M12">
        <v>0</v>
      </c>
      <c r="N12">
        <v>7</v>
      </c>
      <c r="O12">
        <v>7</v>
      </c>
      <c r="Q12" t="str">
        <f t="shared" si="15"/>
        <v>T223</v>
      </c>
      <c r="R12" s="61">
        <v>0.47272727272727272</v>
      </c>
      <c r="S12">
        <v>0.50909090909090904</v>
      </c>
      <c r="T12" s="62">
        <v>1.0181818181818181</v>
      </c>
      <c r="U12">
        <f t="shared" si="16"/>
        <v>2</v>
      </c>
      <c r="W12" t="s">
        <v>226</v>
      </c>
      <c r="X12">
        <f>[1]!CHI_STAT2(L5:N13,R7:T15)</f>
        <v>110</v>
      </c>
      <c r="Y12">
        <f>_xlfn.CHISQ.DIST.RT(X12,Z8)</f>
        <v>4.4851209681235812E-16</v>
      </c>
      <c r="Z12">
        <f>[1]!CHISQ_INV_RT(Z6,Z8)</f>
        <v>26.296227604864239</v>
      </c>
      <c r="AA12" s="67" t="str">
        <f>IF(Z12&lt;X12,"yes","no")</f>
        <v>yes</v>
      </c>
      <c r="AB12">
        <f>SQRT(X12/(W8*(MIN(X8,Y8)-1)))</f>
        <v>1</v>
      </c>
      <c r="AE12" s="42">
        <v>-14</v>
      </c>
      <c r="AF12" s="42">
        <v>10</v>
      </c>
      <c r="AG12" s="42">
        <v>-4</v>
      </c>
      <c r="AI12">
        <v>2</v>
      </c>
      <c r="AL12">
        <f t="shared" si="7"/>
        <v>11</v>
      </c>
      <c r="AM12" s="75">
        <v>2</v>
      </c>
      <c r="AO12" t="s">
        <v>258</v>
      </c>
      <c r="AP12" s="71">
        <v>200</v>
      </c>
      <c r="AT12" s="61">
        <f t="array" ref="AT12">SUM(ABS(TRANSPOSE($AE12:$AG12)-AP$2:AP$4)^$AP$8)</f>
        <v>506.39958448753458</v>
      </c>
      <c r="AU12">
        <f t="array" ref="AU12">SUM(ABS(TRANSPOSE($AE12:$AG12)-AQ$2:AQ$4)^$AP$8)</f>
        <v>68.142500000000013</v>
      </c>
      <c r="AV12" s="62">
        <f t="array" ref="AV12">SUM(ABS(TRANSPOSE($AE12:$AG12)-AR$2:AR$4)^$AP$8)</f>
        <v>225.19082840236683</v>
      </c>
      <c r="AW12" s="75">
        <f t="shared" si="2"/>
        <v>68.142500000000013</v>
      </c>
      <c r="AY12">
        <v>506.39958448753458</v>
      </c>
      <c r="AZ12">
        <v>68.142500000000013</v>
      </c>
      <c r="BA12">
        <v>225.19082840236683</v>
      </c>
      <c r="BB12">
        <v>68.142500000000013</v>
      </c>
      <c r="BH12">
        <v>11</v>
      </c>
      <c r="BI12">
        <v>-14</v>
      </c>
      <c r="BJ12">
        <v>10</v>
      </c>
      <c r="BK12">
        <v>-4</v>
      </c>
      <c r="BM12" s="75">
        <v>2</v>
      </c>
      <c r="BO12">
        <v>2</v>
      </c>
      <c r="BP12">
        <v>68.142500000000013</v>
      </c>
      <c r="BZ12" s="42">
        <v>10</v>
      </c>
      <c r="CA12" s="42">
        <v>-4</v>
      </c>
      <c r="CC12">
        <v>2</v>
      </c>
      <c r="CE12">
        <f t="shared" si="11"/>
        <v>10</v>
      </c>
      <c r="CF12" s="75">
        <v>2</v>
      </c>
      <c r="CH12" t="s">
        <v>258</v>
      </c>
      <c r="CI12" s="71">
        <v>200</v>
      </c>
      <c r="CM12" s="61">
        <f t="array" ref="CM12">SUM(ABS(TRANSPOSE($BZ11:$CA11)-CI$3:CI$4)^$CI$8)</f>
        <v>21.597633136094672</v>
      </c>
      <c r="CN12">
        <f t="array" ref="CN12">SUM(ABS(TRANSPOSE($BZ11:$CA11)-CJ$3:CJ$4)^$CI$8)</f>
        <v>0.22608024691358033</v>
      </c>
      <c r="CO12" s="62">
        <f t="array" ref="CO12">SUM(ABS(TRANSPOSE($BZ11:$CA11)-CK$3:CK$4)^$CI$8)</f>
        <v>17.793388429752063</v>
      </c>
      <c r="CP12" s="75">
        <f t="shared" si="10"/>
        <v>0.22608024691358033</v>
      </c>
      <c r="CS12">
        <v>2</v>
      </c>
      <c r="CT12">
        <v>68.142500000000013</v>
      </c>
      <c r="CV12" s="61">
        <v>37.67590027700831</v>
      </c>
      <c r="CW12">
        <v>11.442500000000004</v>
      </c>
      <c r="CX12" s="62">
        <v>27.883136094674558</v>
      </c>
      <c r="CZ12" t="s">
        <v>273</v>
      </c>
      <c r="DJ12" t="s">
        <v>304</v>
      </c>
      <c r="DN12" s="75">
        <f>DN11/(1-[1]!TiesCorrection(CV5:CX30)/(DN9*(DN9^2-1)))</f>
        <v>3.1735708946056893</v>
      </c>
      <c r="DP12" s="54">
        <f>DP6</f>
        <v>1</v>
      </c>
      <c r="DQ12" s="54">
        <f>DP7</f>
        <v>2</v>
      </c>
      <c r="DR12" s="54">
        <f>ABS(DQ6-DQ7)</f>
        <v>6.2320844875346246</v>
      </c>
      <c r="DS12" s="54">
        <f>SQRT(DS9/DT9/HARMEAN(DR6,DR7))</f>
        <v>6.1308257308366141</v>
      </c>
      <c r="DT12" s="54">
        <f>DR12/DS12</f>
        <v>1.0165163325698041</v>
      </c>
      <c r="DU12" s="54">
        <f>DR12-DS12*DU$9</f>
        <v>-14.685821304100607</v>
      </c>
      <c r="DV12" s="54">
        <f>DR12+DS12*DU$9</f>
        <v>27.149990279169856</v>
      </c>
      <c r="DW12" s="54">
        <f>[1]!QDIST(DT12,COUNT($DR$6:$DR$8),DT$9)</f>
        <v>0.75353282634477581</v>
      </c>
      <c r="DX12" s="54">
        <f>DS12*DU$9</f>
        <v>20.917905791635231</v>
      </c>
      <c r="DY12" s="54">
        <f>DR12*SQRT(DT$9/DS$9)</f>
        <v>0.28081581422448876</v>
      </c>
      <c r="EA12" s="54">
        <f>EA6</f>
        <v>1</v>
      </c>
      <c r="EB12" s="54">
        <f>EA7</f>
        <v>2</v>
      </c>
      <c r="EC12" s="54">
        <f>ABS(ED6-ED7)</f>
        <v>1.2526315789473692</v>
      </c>
      <c r="ED12" s="54">
        <f>SQRT(EC$9*(EC$9+1)/12/HARMEAN(EC6,EC7))</f>
        <v>4.4258015430253552</v>
      </c>
      <c r="EE12" s="54">
        <f>EC12/ED12</f>
        <v>0.28302931497717021</v>
      </c>
      <c r="EF12" s="54">
        <f>[1]!QDIST(EE12,COUNT(EC$6:EC$8))</f>
        <v>0.97816180063604652</v>
      </c>
      <c r="EG12" s="54">
        <f>ED12*EE$9</f>
        <v>14.667106313586027</v>
      </c>
      <c r="ES12" s="75">
        <v>1</v>
      </c>
      <c r="ET12" s="49" t="s">
        <v>159</v>
      </c>
      <c r="EV12" s="35" t="s">
        <v>197</v>
      </c>
      <c r="EY12">
        <v>1</v>
      </c>
      <c r="EZ12">
        <v>1</v>
      </c>
      <c r="FC12" s="35" t="s">
        <v>197</v>
      </c>
      <c r="FD12">
        <v>0</v>
      </c>
      <c r="FE12">
        <v>0</v>
      </c>
      <c r="FF12">
        <v>1</v>
      </c>
      <c r="FG12">
        <v>1</v>
      </c>
      <c r="FI12" t="str">
        <f t="shared" si="18"/>
        <v>A2DDB</v>
      </c>
      <c r="FJ12" s="61">
        <v>0.47272727272727272</v>
      </c>
      <c r="FK12">
        <v>0.32727272727272727</v>
      </c>
      <c r="FL12" s="62">
        <v>0.2</v>
      </c>
      <c r="FM12">
        <f t="shared" si="19"/>
        <v>1</v>
      </c>
      <c r="FO12" t="s">
        <v>226</v>
      </c>
      <c r="FP12">
        <f>[1]!CHI_STAT2(FD4:FF25,FJ7:FL28)</f>
        <v>93.796296296296305</v>
      </c>
      <c r="FQ12">
        <f>_xlfn.CHISQ.DIST.RT(FP12,FR8)</f>
        <v>7.9470704631727894E-6</v>
      </c>
      <c r="FR12">
        <f>[1]!CHISQ_INV_RT(FR6,FR8)</f>
        <v>58.124037680868021</v>
      </c>
      <c r="FS12" s="67" t="str">
        <f>IF(FR12&lt;FP12,"yes","no")</f>
        <v>yes</v>
      </c>
      <c r="FT12">
        <f>SQRT(FP12/(FO8*(MIN(FP8,FQ8)-1)))</f>
        <v>0.92341410141582891</v>
      </c>
      <c r="FV12" s="35" t="s">
        <v>197</v>
      </c>
      <c r="FY12">
        <v>1</v>
      </c>
      <c r="FZ12">
        <v>1</v>
      </c>
      <c r="GB12" t="str">
        <f t="shared" si="27"/>
        <v>A1NN</v>
      </c>
      <c r="GC12" s="61">
        <f t="shared" si="28"/>
        <v>0</v>
      </c>
      <c r="GD12">
        <f t="shared" si="29"/>
        <v>2.1739130434782608E-2</v>
      </c>
      <c r="GE12" s="62">
        <f t="shared" si="30"/>
        <v>2.1739130434782608E-2</v>
      </c>
      <c r="GF12">
        <f t="shared" si="31"/>
        <v>4.3478260869565216E-2</v>
      </c>
      <c r="GM12" t="str">
        <f t="shared" si="32"/>
        <v>A1NN</v>
      </c>
      <c r="GN12">
        <f t="shared" si="33"/>
        <v>1.0000000000000064</v>
      </c>
      <c r="GO12">
        <f t="shared" si="34"/>
        <v>4.3478260869565216E-2</v>
      </c>
      <c r="GP12">
        <f t="shared" si="35"/>
        <v>0.68434343434343425</v>
      </c>
      <c r="GQ12">
        <f t="shared" si="36"/>
        <v>1.7297937288875926E-2</v>
      </c>
      <c r="GR12">
        <v>0.82064971056926461</v>
      </c>
      <c r="GS12">
        <v>0.10429519109729321</v>
      </c>
      <c r="GT12">
        <f t="shared" si="37"/>
        <v>0.98410522211489837</v>
      </c>
      <c r="GU12">
        <f t="shared" si="38"/>
        <v>1.5894777885108045E-2</v>
      </c>
      <c r="GV12">
        <f t="shared" si="39"/>
        <v>3.1813286841038443E-2</v>
      </c>
      <c r="GW12">
        <f t="shared" si="40"/>
        <v>5.9139880806455226E-4</v>
      </c>
      <c r="GY12" t="str">
        <f t="shared" si="23"/>
        <v>A1NOB</v>
      </c>
      <c r="GZ12" s="61">
        <f t="shared" si="24"/>
        <v>-1.1368219113504965</v>
      </c>
      <c r="HA12" s="62">
        <f t="shared" si="25"/>
        <v>-0.64305388173509614</v>
      </c>
      <c r="HD12" s="80" t="s">
        <v>171</v>
      </c>
      <c r="HF12">
        <v>1</v>
      </c>
      <c r="HG12">
        <v>1</v>
      </c>
      <c r="HH12">
        <v>2</v>
      </c>
      <c r="HS12" s="80" t="s">
        <v>164</v>
      </c>
      <c r="HV12">
        <v>3</v>
      </c>
      <c r="HX12">
        <v>3</v>
      </c>
      <c r="ID12" s="79" t="s">
        <v>147</v>
      </c>
      <c r="IG12">
        <v>1</v>
      </c>
      <c r="II12">
        <v>1</v>
      </c>
      <c r="IN12" s="79" t="s">
        <v>147</v>
      </c>
      <c r="IQ12">
        <v>1</v>
      </c>
      <c r="IS12">
        <v>1</v>
      </c>
    </row>
    <row r="13" spans="1:255" ht="15.75" thickTop="1" x14ac:dyDescent="0.25">
      <c r="A13" s="35" t="s">
        <v>166</v>
      </c>
      <c r="D13">
        <v>5</v>
      </c>
      <c r="E13">
        <v>5</v>
      </c>
      <c r="K13" s="35" t="s">
        <v>166</v>
      </c>
      <c r="L13">
        <v>0</v>
      </c>
      <c r="M13">
        <v>0</v>
      </c>
      <c r="N13">
        <v>5</v>
      </c>
      <c r="O13">
        <v>5</v>
      </c>
      <c r="Q13" t="str">
        <f t="shared" si="15"/>
        <v>T231</v>
      </c>
      <c r="R13" s="61">
        <v>3.7818181818181817</v>
      </c>
      <c r="S13">
        <v>4.0727272727272723</v>
      </c>
      <c r="T13" s="62">
        <v>8.1454545454545446</v>
      </c>
      <c r="U13">
        <f t="shared" si="16"/>
        <v>16</v>
      </c>
      <c r="W13" t="s">
        <v>227</v>
      </c>
      <c r="X13">
        <f>[1]!CHI_MAX2(L5:N13,R7:T15)</f>
        <v>113.62090928253319</v>
      </c>
      <c r="Y13">
        <f>_xlfn.CHISQ.DIST.RT(X13,Z8)</f>
        <v>9.1629795814006263E-17</v>
      </c>
      <c r="Z13">
        <f>[1]!CHISQ_INV_RT(Z6,Z8)</f>
        <v>26.296227604864239</v>
      </c>
      <c r="AA13" s="67" t="str">
        <f>IF(Z13&lt;X13,"yes","no")</f>
        <v>yes</v>
      </c>
      <c r="AB13">
        <f>SQRT(X13/(W8*(MIN(X8,Y8)-1)))</f>
        <v>1.0163254189057449</v>
      </c>
      <c r="AE13" s="42">
        <v>-3</v>
      </c>
      <c r="AF13" s="42">
        <v>6.5</v>
      </c>
      <c r="AG13" s="42">
        <v>6</v>
      </c>
      <c r="AI13">
        <v>3</v>
      </c>
      <c r="AL13">
        <f t="shared" si="7"/>
        <v>12</v>
      </c>
      <c r="AM13" s="75">
        <v>3</v>
      </c>
      <c r="AT13" s="61">
        <f t="array" ref="AT13">SUM(ABS(TRANSPOSE($AE13:$AG13)-AP$2:AP$4)^$AP$8)</f>
        <v>95.965373961218845</v>
      </c>
      <c r="AU13">
        <f t="array" ref="AU13">SUM(ABS(TRANSPOSE($AE13:$AG13)-AQ$2:AQ$4)^$AP$8)</f>
        <v>189.54250000000005</v>
      </c>
      <c r="AV13" s="62">
        <f t="array" ref="AV13">SUM(ABS(TRANSPOSE($AE13:$AG13)-AR$2:AR$4)^$AP$8)</f>
        <v>24.210059171597631</v>
      </c>
      <c r="AW13" s="75">
        <f t="shared" si="2"/>
        <v>24.210059171597631</v>
      </c>
      <c r="AY13">
        <v>95.965373961218845</v>
      </c>
      <c r="AZ13">
        <v>189.54250000000005</v>
      </c>
      <c r="BA13">
        <v>24.210059171597631</v>
      </c>
      <c r="BB13">
        <v>24.210059171597631</v>
      </c>
      <c r="BH13">
        <v>12</v>
      </c>
      <c r="BI13">
        <v>-3</v>
      </c>
      <c r="BJ13">
        <v>6.5</v>
      </c>
      <c r="BK13">
        <v>6</v>
      </c>
      <c r="BM13" s="75">
        <v>3</v>
      </c>
      <c r="BO13">
        <v>3</v>
      </c>
      <c r="BP13">
        <v>24.210059171597631</v>
      </c>
      <c r="BZ13" s="42">
        <v>6.5</v>
      </c>
      <c r="CA13" s="42">
        <v>6</v>
      </c>
      <c r="CC13">
        <v>3</v>
      </c>
      <c r="CE13">
        <f t="shared" si="11"/>
        <v>11</v>
      </c>
      <c r="CF13" s="75">
        <v>1</v>
      </c>
      <c r="CM13" s="61">
        <f t="array" ref="CM13">SUM(ABS(TRANSPOSE($BZ12:$CA12)-CI$3:CI$4)^$CI$8)</f>
        <v>64.289940828402365</v>
      </c>
      <c r="CN13">
        <f t="array" ref="CN13">SUM(ABS(TRANSPOSE($BZ12:$CA12)-CJ$3:CJ$4)^$CI$8)</f>
        <v>153.78163580246911</v>
      </c>
      <c r="CO13" s="62">
        <f t="array" ref="CO13">SUM(ABS(TRANSPOSE($BZ12:$CA12)-CK$3:CK$4)^$CI$8)</f>
        <v>142.97520661157026</v>
      </c>
      <c r="CP13" s="75">
        <f t="shared" si="10"/>
        <v>64.289940828402365</v>
      </c>
      <c r="CS13">
        <v>3</v>
      </c>
      <c r="CT13">
        <v>24.210059171597631</v>
      </c>
      <c r="CV13" s="61">
        <v>13.912742382271468</v>
      </c>
      <c r="CW13">
        <v>27.942500000000006</v>
      </c>
      <c r="CX13" s="62">
        <v>24.421597633136091</v>
      </c>
      <c r="CZ13" s="66" t="s">
        <v>274</v>
      </c>
      <c r="DA13" s="66" t="s">
        <v>269</v>
      </c>
      <c r="DB13" s="66" t="s">
        <v>218</v>
      </c>
      <c r="DC13" s="66" t="s">
        <v>275</v>
      </c>
      <c r="DD13" s="66" t="s">
        <v>11</v>
      </c>
      <c r="DE13" s="66" t="s">
        <v>276</v>
      </c>
      <c r="DF13" s="66" t="s">
        <v>277</v>
      </c>
      <c r="DG13" s="66" t="s">
        <v>278</v>
      </c>
      <c r="DH13" s="66" t="s">
        <v>279</v>
      </c>
      <c r="DJ13" t="s">
        <v>218</v>
      </c>
      <c r="DN13" s="75">
        <f>COUNTA(DK6:DM6)-1</f>
        <v>2</v>
      </c>
      <c r="DP13">
        <f>DP6</f>
        <v>1</v>
      </c>
      <c r="DQ13">
        <f>DP8</f>
        <v>3</v>
      </c>
      <c r="DR13">
        <f>ABS(DQ6-DQ8)</f>
        <v>7.8104746840630028</v>
      </c>
      <c r="DS13">
        <f>SQRT(DS9/DT9/HARMEAN(DR6,DR8))</f>
        <v>4.7363038426589972</v>
      </c>
      <c r="DT13">
        <f t="shared" ref="DT13:DT14" si="41">DR13/DS13</f>
        <v>1.6490653774606958</v>
      </c>
      <c r="DU13">
        <f t="shared" ref="DU13:DU14" si="42">DR13-DS13*DU$9</f>
        <v>-8.349429696024675</v>
      </c>
      <c r="DV13">
        <f t="shared" ref="DV13:DV14" si="43">DR13+DS13*DU$9</f>
        <v>23.970379064150681</v>
      </c>
      <c r="DW13">
        <f>[1]!QDIST(DT13,COUNT($DR$6:$DR$8),DT$9)</f>
        <v>0.47856334320909499</v>
      </c>
      <c r="DX13">
        <f t="shared" ref="DX13:DX14" si="44">DS13*DU$9</f>
        <v>16.159904380087678</v>
      </c>
      <c r="DY13">
        <f t="shared" ref="DY13:DY14" si="45">DR13*SQRT(DT$9/DS$9)</f>
        <v>0.35193759203231967</v>
      </c>
      <c r="EA13">
        <f>EA6</f>
        <v>1</v>
      </c>
      <c r="EB13">
        <f>EA8</f>
        <v>3</v>
      </c>
      <c r="EC13">
        <f>ABS(ED6-ED8)</f>
        <v>8.09109311740891</v>
      </c>
      <c r="ED13">
        <f>SQRT(EC$9*(EC$9+1)/12/HARMEAN(EC6,EC8))</f>
        <v>3.4191056434116973</v>
      </c>
      <c r="EE13">
        <f t="shared" ref="EE13:EE14" si="46">EC13/ED13</f>
        <v>2.3664355422885817</v>
      </c>
      <c r="EF13">
        <f>[1]!QDIST(EE13,COUNT(EC$6:EC$8))</f>
        <v>0.21569388720031246</v>
      </c>
      <c r="EG13">
        <f t="shared" ref="EG13:EG14" si="47">ED13*EE$9</f>
        <v>11.330916102266364</v>
      </c>
      <c r="ES13" s="75">
        <v>1</v>
      </c>
      <c r="ET13" s="49" t="s">
        <v>145</v>
      </c>
      <c r="EV13" s="35" t="s">
        <v>159</v>
      </c>
      <c r="EW13">
        <v>2</v>
      </c>
      <c r="EZ13">
        <v>2</v>
      </c>
      <c r="FC13" s="35" t="s">
        <v>159</v>
      </c>
      <c r="FD13">
        <v>2</v>
      </c>
      <c r="FE13">
        <v>0</v>
      </c>
      <c r="FF13">
        <v>0</v>
      </c>
      <c r="FG13">
        <v>2</v>
      </c>
      <c r="FI13" t="str">
        <f t="shared" si="18"/>
        <v>A3MN</v>
      </c>
      <c r="FJ13" s="61">
        <v>0.47272727272727272</v>
      </c>
      <c r="FK13">
        <v>0.32727272727272727</v>
      </c>
      <c r="FL13" s="62">
        <v>0.2</v>
      </c>
      <c r="FM13">
        <f t="shared" si="19"/>
        <v>1</v>
      </c>
      <c r="FO13" t="s">
        <v>227</v>
      </c>
      <c r="FP13">
        <f>[1]!CHI_MAX2(FD4:FF25,FJ7:FL28)</f>
        <v>98.512294516696997</v>
      </c>
      <c r="FQ13">
        <f>_xlfn.CHISQ.DIST.RT(FP13,FR8)</f>
        <v>1.9434477843136085E-6</v>
      </c>
      <c r="FR13">
        <f>[1]!CHISQ_INV_RT(FR6,FR8)</f>
        <v>58.124037680868021</v>
      </c>
      <c r="FS13" s="67" t="str">
        <f>IF(FR13&lt;FP13,"yes","no")</f>
        <v>yes</v>
      </c>
      <c r="FT13">
        <f>SQRT(FP13/(FO8*(MIN(FP8,FQ8)-1)))</f>
        <v>0.94634365522687081</v>
      </c>
      <c r="FV13" s="35" t="s">
        <v>159</v>
      </c>
      <c r="FW13">
        <v>2</v>
      </c>
      <c r="FZ13">
        <v>2</v>
      </c>
      <c r="GB13" t="str">
        <f t="shared" si="27"/>
        <v>A1NOB</v>
      </c>
      <c r="GC13" s="61">
        <f t="shared" si="28"/>
        <v>6.5217391304347824E-2</v>
      </c>
      <c r="GD13">
        <f t="shared" si="29"/>
        <v>0</v>
      </c>
      <c r="GE13" s="62">
        <f t="shared" si="30"/>
        <v>0</v>
      </c>
      <c r="GF13">
        <f t="shared" si="31"/>
        <v>6.5217391304347824E-2</v>
      </c>
      <c r="GM13" t="str">
        <f t="shared" si="32"/>
        <v>A1NOB</v>
      </c>
      <c r="GN13">
        <f t="shared" si="33"/>
        <v>0.99999999999999689</v>
      </c>
      <c r="GO13">
        <f t="shared" si="34"/>
        <v>6.5217391304347824E-2</v>
      </c>
      <c r="GP13">
        <f t="shared" si="35"/>
        <v>1.7058823529411764</v>
      </c>
      <c r="GQ13">
        <f t="shared" si="36"/>
        <v>6.4678590783194434E-2</v>
      </c>
      <c r="GR13">
        <v>-1.1368219113504965</v>
      </c>
      <c r="GS13">
        <v>-0.64305388173509614</v>
      </c>
      <c r="GT13">
        <f t="shared" si="37"/>
        <v>0.75759272372938391</v>
      </c>
      <c r="GU13">
        <f t="shared" si="38"/>
        <v>0.24240727627061295</v>
      </c>
      <c r="GV13">
        <f t="shared" si="39"/>
        <v>9.1573334864483588E-2</v>
      </c>
      <c r="GW13">
        <f t="shared" si="40"/>
        <v>3.3723905516334689E-2</v>
      </c>
      <c r="GY13" t="str">
        <f t="shared" si="23"/>
        <v>A2DDB</v>
      </c>
      <c r="GZ13" s="61">
        <f t="shared" si="24"/>
        <v>0.18166840863353498</v>
      </c>
      <c r="HA13" s="62">
        <f t="shared" si="25"/>
        <v>1.2339173979080276</v>
      </c>
      <c r="HD13" s="80" t="s">
        <v>175</v>
      </c>
      <c r="HF13">
        <v>1</v>
      </c>
      <c r="HH13">
        <v>1</v>
      </c>
      <c r="HS13" s="80" t="s">
        <v>171</v>
      </c>
      <c r="HV13">
        <v>1</v>
      </c>
      <c r="HW13">
        <v>1</v>
      </c>
      <c r="HX13">
        <v>2</v>
      </c>
      <c r="ID13" s="79" t="s">
        <v>159</v>
      </c>
      <c r="IG13">
        <v>2</v>
      </c>
      <c r="II13">
        <v>2</v>
      </c>
      <c r="IN13" s="79" t="s">
        <v>159</v>
      </c>
      <c r="IQ13">
        <v>2</v>
      </c>
      <c r="IS13">
        <v>2</v>
      </c>
    </row>
    <row r="14" spans="1:255" x14ac:dyDescent="0.25">
      <c r="A14" s="35" t="s">
        <v>206</v>
      </c>
      <c r="B14">
        <v>13</v>
      </c>
      <c r="C14">
        <v>14</v>
      </c>
      <c r="D14">
        <v>28</v>
      </c>
      <c r="E14">
        <v>55</v>
      </c>
      <c r="K14" s="56" t="s">
        <v>206</v>
      </c>
      <c r="L14" s="57">
        <v>13</v>
      </c>
      <c r="M14" s="57">
        <v>14</v>
      </c>
      <c r="N14" s="57">
        <v>28</v>
      </c>
      <c r="O14" s="57">
        <v>55</v>
      </c>
      <c r="Q14" t="str">
        <f t="shared" si="15"/>
        <v>T232</v>
      </c>
      <c r="R14" s="61">
        <v>1.6545454545454545</v>
      </c>
      <c r="S14">
        <v>1.7818181818181817</v>
      </c>
      <c r="T14" s="62">
        <v>3.5636363636363635</v>
      </c>
      <c r="U14">
        <f t="shared" si="16"/>
        <v>7</v>
      </c>
      <c r="W14" s="54"/>
      <c r="X14" s="54"/>
      <c r="Y14" s="54"/>
      <c r="Z14" s="54"/>
      <c r="AA14" s="54"/>
      <c r="AB14" s="54"/>
      <c r="AE14" s="42">
        <v>-14</v>
      </c>
      <c r="AF14" s="42">
        <v>6</v>
      </c>
      <c r="AG14" s="42">
        <v>-1</v>
      </c>
      <c r="AI14">
        <v>3</v>
      </c>
      <c r="AL14">
        <f t="shared" si="7"/>
        <v>13</v>
      </c>
      <c r="AM14" s="75">
        <v>2</v>
      </c>
      <c r="AO14" t="s">
        <v>259</v>
      </c>
      <c r="AP14" s="71" t="b">
        <f>[1]!CLUST_Converge(AE2:AG56,AM2:AM56)</f>
        <v>1</v>
      </c>
      <c r="AT14" s="61">
        <f t="array" ref="AT14">SUM(ABS(TRANSPOSE($AE14:$AG14)-AP$2:AP$4)^$AP$8)</f>
        <v>436.7680055401662</v>
      </c>
      <c r="AU14">
        <f t="array" ref="AU14">SUM(ABS(TRANSPOSE($AE14:$AG14)-AQ$2:AQ$4)^$AP$8)</f>
        <v>15.342500000000008</v>
      </c>
      <c r="AV14" s="62">
        <f t="array" ref="AV14">SUM(ABS(TRANSPOSE($AE14:$AG14)-AR$2:AR$4)^$AP$8)</f>
        <v>142.11390532544377</v>
      </c>
      <c r="AW14" s="75">
        <f t="shared" si="2"/>
        <v>15.342500000000008</v>
      </c>
      <c r="AY14">
        <v>436.7680055401662</v>
      </c>
      <c r="AZ14">
        <v>15.342500000000008</v>
      </c>
      <c r="BA14">
        <v>142.11390532544377</v>
      </c>
      <c r="BB14">
        <v>15.342500000000008</v>
      </c>
      <c r="BH14">
        <v>13</v>
      </c>
      <c r="BI14">
        <v>-14</v>
      </c>
      <c r="BJ14">
        <v>6</v>
      </c>
      <c r="BK14">
        <v>-1</v>
      </c>
      <c r="BM14" s="75">
        <v>2</v>
      </c>
      <c r="BO14">
        <v>2</v>
      </c>
      <c r="BP14">
        <v>15.342500000000008</v>
      </c>
      <c r="BZ14" s="42">
        <v>6</v>
      </c>
      <c r="CA14" s="42">
        <v>-1</v>
      </c>
      <c r="CC14">
        <v>3</v>
      </c>
      <c r="CE14">
        <f t="shared" si="11"/>
        <v>12</v>
      </c>
      <c r="CF14" s="75">
        <v>1</v>
      </c>
      <c r="CH14" t="s">
        <v>259</v>
      </c>
      <c r="CI14" s="71" t="b">
        <f>[1]!CLUST_Converge(BZ2:CA56,CF3:CF57)</f>
        <v>1</v>
      </c>
      <c r="CM14" s="61">
        <f t="array" ref="CM14">SUM(ABS(TRANSPOSE($BZ13:$CA13)-CI$3:CI$4)^$CI$8)</f>
        <v>8.6168639053254417</v>
      </c>
      <c r="CN14">
        <f t="array" ref="CN14">SUM(ABS(TRANSPOSE($BZ13:$CA13)-CJ$3:CJ$4)^$CI$8)</f>
        <v>25.614969135802468</v>
      </c>
      <c r="CO14" s="62">
        <f t="array" ref="CO14">SUM(ABS(TRANSPOSE($BZ13:$CA13)-CK$3:CK$4)^$CI$8)</f>
        <v>68.679752066115697</v>
      </c>
      <c r="CP14" s="75">
        <f t="shared" si="10"/>
        <v>8.6168639053254417</v>
      </c>
      <c r="CS14">
        <v>2</v>
      </c>
      <c r="CT14">
        <v>15.342500000000008</v>
      </c>
      <c r="CV14" s="61">
        <v>14.860110803324101</v>
      </c>
      <c r="CW14">
        <v>11.842499999999999</v>
      </c>
      <c r="CX14" s="62">
        <v>14.363905325443787</v>
      </c>
      <c r="CZ14" t="s">
        <v>280</v>
      </c>
      <c r="DA14">
        <f>DA16-DA15</f>
        <v>1614.2804481934945</v>
      </c>
      <c r="DB14">
        <f>COUNTA(CZ8:CZ10)-1</f>
        <v>2</v>
      </c>
      <c r="DC14">
        <f>DA14/DB14</f>
        <v>807.14022409674726</v>
      </c>
      <c r="DD14">
        <f>DC14/DC15</f>
        <v>1.638798091207843</v>
      </c>
      <c r="DE14">
        <f>_xlfn.F.DIST.RT(DD14,DB14,DB15)</f>
        <v>0.20408404924875856</v>
      </c>
      <c r="DF14">
        <f>DA14/DA16</f>
        <v>5.9293392057057637E-2</v>
      </c>
      <c r="DG14">
        <f>SQRT(DEVSQ(DC8:DC10)/(DC15*DB14))</f>
        <v>0.3170421799839005</v>
      </c>
      <c r="DH14">
        <f>(DA16-DB16*DC15)/(DA16+DC15)</f>
        <v>2.270168360202425E-2</v>
      </c>
      <c r="DJ14" t="s">
        <v>222</v>
      </c>
      <c r="DN14" s="75">
        <f>_xlfn.CHISQ.DIST.RT(DN12,DN13)</f>
        <v>0.20458219610657238</v>
      </c>
      <c r="DP14" s="68">
        <f>DP7</f>
        <v>2</v>
      </c>
      <c r="DQ14" s="68">
        <f>DP8</f>
        <v>3</v>
      </c>
      <c r="DR14" s="68">
        <f>ABS(DQ7-DQ8)</f>
        <v>14.042559171597627</v>
      </c>
      <c r="DS14" s="68">
        <f>SQRT(DS9/DT9/HARMEAN(DR7,DR8))</f>
        <v>5.8393075460005797</v>
      </c>
      <c r="DT14" s="68">
        <f t="shared" si="41"/>
        <v>2.4048329465392801</v>
      </c>
      <c r="DU14" s="68">
        <f t="shared" si="42"/>
        <v>-5.880708997852814</v>
      </c>
      <c r="DV14" s="68">
        <f t="shared" si="43"/>
        <v>33.965827341048069</v>
      </c>
      <c r="DW14" s="68">
        <f>[1]!QDIST(DT14,COUNT($DR$6:$DR$8),DT$9)</f>
        <v>0.21467950998468732</v>
      </c>
      <c r="DX14" s="68">
        <f t="shared" si="44"/>
        <v>19.923268169450441</v>
      </c>
      <c r="DY14" s="68">
        <f t="shared" si="45"/>
        <v>0.63275340625680843</v>
      </c>
      <c r="EA14" s="68">
        <f>EA7</f>
        <v>2</v>
      </c>
      <c r="EB14" s="68">
        <f>EA8</f>
        <v>3</v>
      </c>
      <c r="EC14" s="68">
        <f>ABS(ED7-ED8)</f>
        <v>6.8384615384615408</v>
      </c>
      <c r="ED14" s="68">
        <f>SQRT(EC$9*(EC$9+1)/12/HARMEAN(EC7,EC8))</f>
        <v>4.2153565411754643</v>
      </c>
      <c r="EE14" s="68">
        <f t="shared" si="46"/>
        <v>1.6222735779675272</v>
      </c>
      <c r="EF14" s="68">
        <f>[1]!QDIST(EE14,COUNT(EC$6:EC$8))</f>
        <v>0.48516141922385847</v>
      </c>
      <c r="EG14" s="68">
        <f t="shared" si="47"/>
        <v>13.969691577455489</v>
      </c>
      <c r="ES14" s="75">
        <v>1</v>
      </c>
      <c r="ET14" s="49" t="s">
        <v>159</v>
      </c>
      <c r="EV14" s="35" t="s">
        <v>179</v>
      </c>
      <c r="EY14">
        <v>1</v>
      </c>
      <c r="EZ14">
        <v>1</v>
      </c>
      <c r="FC14" s="35" t="s">
        <v>179</v>
      </c>
      <c r="FD14">
        <v>0</v>
      </c>
      <c r="FE14">
        <v>0</v>
      </c>
      <c r="FF14">
        <v>1</v>
      </c>
      <c r="FG14">
        <v>1</v>
      </c>
      <c r="FI14" t="str">
        <f t="shared" si="18"/>
        <v>A3MOB</v>
      </c>
      <c r="FJ14" s="61">
        <v>0.47272727272727272</v>
      </c>
      <c r="FK14">
        <v>0.32727272727272727</v>
      </c>
      <c r="FL14" s="62">
        <v>0.2</v>
      </c>
      <c r="FM14">
        <f t="shared" si="19"/>
        <v>1</v>
      </c>
      <c r="FO14" s="54"/>
      <c r="FP14" s="54"/>
      <c r="FQ14" s="54"/>
      <c r="FR14" s="54"/>
      <c r="FS14" s="54"/>
      <c r="FT14" s="54"/>
      <c r="FV14" s="35" t="s">
        <v>179</v>
      </c>
      <c r="FY14">
        <v>1</v>
      </c>
      <c r="FZ14">
        <v>1</v>
      </c>
      <c r="GB14" t="str">
        <f t="shared" si="27"/>
        <v>A2DDB</v>
      </c>
      <c r="GC14" s="61">
        <f t="shared" si="28"/>
        <v>0</v>
      </c>
      <c r="GD14">
        <f t="shared" si="29"/>
        <v>2.1739130434782608E-2</v>
      </c>
      <c r="GE14" s="62">
        <f t="shared" si="30"/>
        <v>0</v>
      </c>
      <c r="GF14">
        <f t="shared" si="31"/>
        <v>2.1739130434782608E-2</v>
      </c>
      <c r="GM14" t="str">
        <f t="shared" si="32"/>
        <v>A2DDB</v>
      </c>
      <c r="GN14">
        <f t="shared" si="33"/>
        <v>1.000000000000002</v>
      </c>
      <c r="GO14">
        <f t="shared" si="34"/>
        <v>2.1739130434782608E-2</v>
      </c>
      <c r="GP14">
        <f t="shared" si="35"/>
        <v>1.5555555555555556</v>
      </c>
      <c r="GQ14">
        <f t="shared" si="36"/>
        <v>1.9659648284036109E-2</v>
      </c>
      <c r="GR14">
        <v>0.18166840863353498</v>
      </c>
      <c r="GS14">
        <v>1.2339173979080276</v>
      </c>
      <c r="GT14">
        <f t="shared" si="37"/>
        <v>2.1216478304212104E-2</v>
      </c>
      <c r="GU14">
        <f t="shared" si="38"/>
        <v>0.97878352169578986</v>
      </c>
      <c r="GV14">
        <f t="shared" si="39"/>
        <v>7.7951006665637603E-4</v>
      </c>
      <c r="GW14">
        <f t="shared" si="40"/>
        <v>4.1389869421198135E-2</v>
      </c>
      <c r="GY14" t="str">
        <f t="shared" si="23"/>
        <v>A3MN</v>
      </c>
      <c r="GZ14" s="61">
        <f t="shared" si="24"/>
        <v>1.4596310125049941</v>
      </c>
      <c r="HA14" s="62">
        <f t="shared" si="25"/>
        <v>-1.0253270157134411</v>
      </c>
      <c r="HD14" s="80" t="s">
        <v>162</v>
      </c>
      <c r="HF14">
        <v>5</v>
      </c>
      <c r="HH14">
        <v>5</v>
      </c>
      <c r="HS14" s="80" t="s">
        <v>175</v>
      </c>
      <c r="HV14">
        <v>1</v>
      </c>
      <c r="HX14">
        <v>1</v>
      </c>
      <c r="ID14" s="79" t="s">
        <v>155</v>
      </c>
      <c r="IE14">
        <v>1</v>
      </c>
      <c r="IG14">
        <v>1</v>
      </c>
      <c r="II14">
        <v>11</v>
      </c>
      <c r="IN14" s="79" t="s">
        <v>155</v>
      </c>
      <c r="IQ14">
        <v>1</v>
      </c>
      <c r="IR14">
        <v>1</v>
      </c>
      <c r="IS14">
        <v>11</v>
      </c>
    </row>
    <row r="15" spans="1:255" x14ac:dyDescent="0.25">
      <c r="Q15" t="str">
        <f t="shared" si="15"/>
        <v>T233</v>
      </c>
      <c r="R15" s="63">
        <v>1.1818181818181819</v>
      </c>
      <c r="S15" s="64">
        <v>1.2727272727272727</v>
      </c>
      <c r="T15" s="65">
        <v>2.5454545454545454</v>
      </c>
      <c r="U15">
        <f t="shared" si="16"/>
        <v>5</v>
      </c>
      <c r="AE15" s="42">
        <v>-3</v>
      </c>
      <c r="AF15" s="42">
        <v>2.5</v>
      </c>
      <c r="AG15" s="42">
        <v>4</v>
      </c>
      <c r="AI15">
        <v>3</v>
      </c>
      <c r="AL15">
        <f t="shared" si="7"/>
        <v>14</v>
      </c>
      <c r="AM15" s="75">
        <v>3</v>
      </c>
      <c r="AT15" s="61">
        <f t="array" ref="AT15">SUM(ABS(TRANSPOSE($AE15:$AG15)-AP$2:AP$4)^$AP$8)</f>
        <v>87.754847645429365</v>
      </c>
      <c r="AU15">
        <f t="array" ref="AU15">SUM(ABS(TRANSPOSE($AE15:$AG15)-AQ$2:AQ$4)^$AP$8)</f>
        <v>180.74250000000006</v>
      </c>
      <c r="AV15" s="62">
        <f t="array" ref="AV15">SUM(ABS(TRANSPOSE($AE15:$AG15)-AR$2:AR$4)^$AP$8)</f>
        <v>0.671597633136095</v>
      </c>
      <c r="AW15" s="75">
        <f t="shared" si="2"/>
        <v>0.671597633136095</v>
      </c>
      <c r="AY15">
        <v>87.754847645429365</v>
      </c>
      <c r="AZ15">
        <v>180.74250000000006</v>
      </c>
      <c r="BA15">
        <v>0.671597633136095</v>
      </c>
      <c r="BB15">
        <v>0.671597633136095</v>
      </c>
      <c r="BH15">
        <v>14</v>
      </c>
      <c r="BI15">
        <v>-3</v>
      </c>
      <c r="BJ15">
        <v>2.5</v>
      </c>
      <c r="BK15">
        <v>4</v>
      </c>
      <c r="BM15" s="75">
        <v>3</v>
      </c>
      <c r="BO15">
        <v>3</v>
      </c>
      <c r="BP15">
        <v>0.671597633136095</v>
      </c>
      <c r="BZ15" s="42">
        <v>2.5</v>
      </c>
      <c r="CA15" s="42">
        <v>4</v>
      </c>
      <c r="CC15">
        <v>3</v>
      </c>
      <c r="CE15">
        <f t="shared" si="11"/>
        <v>13</v>
      </c>
      <c r="CF15" s="75">
        <v>1</v>
      </c>
      <c r="CM15" s="61">
        <f t="array" ref="CM15">SUM(ABS(TRANSPOSE($BZ14:$CA14)-CI$3:CI$4)^$CI$8)</f>
        <v>16.674556213017748</v>
      </c>
      <c r="CN15">
        <f t="array" ref="CN15">SUM(ABS(TRANSPOSE($BZ14:$CA14)-CJ$3:CJ$4)^$CI$8)</f>
        <v>56.670524691358025</v>
      </c>
      <c r="CO15" s="62">
        <f t="array" ref="CO15">SUM(ABS(TRANSPOSE($BZ14:$CA14)-CK$3:CK$4)^$CI$8)</f>
        <v>49.793388429752056</v>
      </c>
      <c r="CP15" s="75">
        <f t="shared" si="10"/>
        <v>16.674556213017748</v>
      </c>
      <c r="CS15">
        <v>3</v>
      </c>
      <c r="CT15">
        <v>0.671597633136095</v>
      </c>
      <c r="CV15" s="61">
        <v>71.189058171745145</v>
      </c>
      <c r="CW15" t="str">
        <v/>
      </c>
      <c r="CX15" s="62">
        <v>10.960059171597633</v>
      </c>
      <c r="CZ15" t="s">
        <v>281</v>
      </c>
      <c r="DA15">
        <f>SUM(DE8:DE10)</f>
        <v>25611.020587714236</v>
      </c>
      <c r="DB15">
        <f>DB16-DB14</f>
        <v>52</v>
      </c>
      <c r="DC15">
        <f>DA15/DB15</f>
        <v>492.51962668681222</v>
      </c>
      <c r="DJ15" t="s">
        <v>283</v>
      </c>
      <c r="DN15" s="75">
        <v>0.05</v>
      </c>
      <c r="ES15" s="75">
        <v>2</v>
      </c>
      <c r="ET15" s="49" t="s">
        <v>162</v>
      </c>
      <c r="EV15" s="35" t="s">
        <v>185</v>
      </c>
      <c r="EY15">
        <v>2</v>
      </c>
      <c r="EZ15">
        <v>2</v>
      </c>
      <c r="FC15" s="35" t="s">
        <v>185</v>
      </c>
      <c r="FD15">
        <v>0</v>
      </c>
      <c r="FE15">
        <v>0</v>
      </c>
      <c r="FF15">
        <v>2</v>
      </c>
      <c r="FG15">
        <v>2</v>
      </c>
      <c r="FI15" t="str">
        <f t="shared" si="18"/>
        <v>P1MDB</v>
      </c>
      <c r="FJ15" s="61">
        <v>0.47272727272727272</v>
      </c>
      <c r="FK15">
        <v>0.32727272727272727</v>
      </c>
      <c r="FL15" s="62">
        <v>0.2</v>
      </c>
      <c r="FM15">
        <f t="shared" si="19"/>
        <v>1</v>
      </c>
      <c r="FV15" s="35" t="s">
        <v>185</v>
      </c>
      <c r="FY15">
        <v>2</v>
      </c>
      <c r="FZ15">
        <v>2</v>
      </c>
      <c r="GB15" t="str">
        <f t="shared" si="27"/>
        <v>A3MN</v>
      </c>
      <c r="GC15" s="61">
        <f t="shared" si="28"/>
        <v>0</v>
      </c>
      <c r="GD15">
        <f t="shared" si="29"/>
        <v>0</v>
      </c>
      <c r="GE15" s="62">
        <f t="shared" si="30"/>
        <v>2.1739130434782608E-2</v>
      </c>
      <c r="GF15">
        <f t="shared" si="31"/>
        <v>2.1739130434782608E-2</v>
      </c>
      <c r="GM15" t="str">
        <f t="shared" si="32"/>
        <v>A3MN</v>
      </c>
      <c r="GN15">
        <f t="shared" si="33"/>
        <v>1.0000000000000011</v>
      </c>
      <c r="GO15">
        <f t="shared" si="34"/>
        <v>2.1739130434782608E-2</v>
      </c>
      <c r="GP15">
        <f t="shared" si="35"/>
        <v>3.1818181818181817</v>
      </c>
      <c r="GQ15">
        <f t="shared" si="36"/>
        <v>4.0212916944619308E-2</v>
      </c>
      <c r="GR15">
        <v>1.4596310125049941</v>
      </c>
      <c r="GS15">
        <v>-1.0253270157134411</v>
      </c>
      <c r="GT15">
        <f t="shared" si="37"/>
        <v>0.66959284626656845</v>
      </c>
      <c r="GU15">
        <f t="shared" si="38"/>
        <v>0.33040715373343266</v>
      </c>
      <c r="GV15">
        <f t="shared" si="39"/>
        <v>5.0320977474085191E-2</v>
      </c>
      <c r="GW15">
        <f t="shared" si="40"/>
        <v>2.857897719035863E-2</v>
      </c>
      <c r="GY15" t="str">
        <f t="shared" si="23"/>
        <v>A3MOB</v>
      </c>
      <c r="GZ15" s="61">
        <f t="shared" si="24"/>
        <v>-1.1368219113504969</v>
      </c>
      <c r="HA15" s="62">
        <f t="shared" si="25"/>
        <v>-0.64305388173509626</v>
      </c>
      <c r="HD15" s="80" t="s">
        <v>153</v>
      </c>
      <c r="HF15">
        <v>1</v>
      </c>
      <c r="HH15">
        <v>1</v>
      </c>
      <c r="HS15" s="80" t="s">
        <v>162</v>
      </c>
      <c r="HV15">
        <v>5</v>
      </c>
      <c r="HX15">
        <v>5</v>
      </c>
      <c r="ID15" s="79" t="s">
        <v>145</v>
      </c>
      <c r="IE15">
        <v>1</v>
      </c>
      <c r="IG15">
        <v>2</v>
      </c>
      <c r="II15">
        <v>3</v>
      </c>
      <c r="IN15" s="79" t="s">
        <v>145</v>
      </c>
      <c r="IQ15">
        <v>2</v>
      </c>
      <c r="IR15">
        <v>1</v>
      </c>
      <c r="IS15">
        <v>3</v>
      </c>
    </row>
    <row r="16" spans="1:255" x14ac:dyDescent="0.25">
      <c r="Q16" t="s">
        <v>211</v>
      </c>
      <c r="R16">
        <f t="shared" ref="R16" si="48">SUM(L5:L13)</f>
        <v>13</v>
      </c>
      <c r="S16">
        <f t="shared" ref="S16" si="49">SUM(M5:M13)</f>
        <v>14</v>
      </c>
      <c r="T16">
        <f t="shared" ref="T16" si="50">SUM(N5:N13)</f>
        <v>28</v>
      </c>
      <c r="U16">
        <f>SUM(U7:U15)</f>
        <v>55</v>
      </c>
      <c r="AE16" s="42">
        <v>-14</v>
      </c>
      <c r="AF16" s="42">
        <v>6</v>
      </c>
      <c r="AG16" s="42">
        <v>3</v>
      </c>
      <c r="AI16">
        <v>3</v>
      </c>
      <c r="AL16">
        <f t="shared" si="7"/>
        <v>15</v>
      </c>
      <c r="AM16" s="75">
        <v>2</v>
      </c>
      <c r="AO16" t="s">
        <v>260</v>
      </c>
      <c r="AP16" s="71">
        <f>SUM(AW2:AW56)</f>
        <v>1418.5213562753042</v>
      </c>
      <c r="AT16" s="61">
        <f t="array" ref="AT16">SUM(ABS(TRANSPOSE($AE16:$AG16)-AP$2:AP$4)^$AP$8)</f>
        <v>414.03116343490302</v>
      </c>
      <c r="AU16">
        <f t="array" ref="AU16">SUM(ABS(TRANSPOSE($AE16:$AG16)-AQ$2:AQ$4)^$AP$8)</f>
        <v>6.5425000000000066</v>
      </c>
      <c r="AV16" s="62">
        <f t="array" ref="AV16">SUM(ABS(TRANSPOSE($AE16:$AG16)-AR$2:AR$4)^$AP$8)</f>
        <v>120.88313609467453</v>
      </c>
      <c r="AW16" s="75">
        <f t="shared" si="2"/>
        <v>6.5425000000000066</v>
      </c>
      <c r="AY16">
        <v>414.03116343490302</v>
      </c>
      <c r="AZ16">
        <v>6.5425000000000066</v>
      </c>
      <c r="BA16">
        <v>120.88313609467453</v>
      </c>
      <c r="BB16">
        <v>6.5425000000000066</v>
      </c>
      <c r="BH16">
        <v>15</v>
      </c>
      <c r="BI16">
        <v>-14</v>
      </c>
      <c r="BJ16">
        <v>6</v>
      </c>
      <c r="BK16">
        <v>3</v>
      </c>
      <c r="BM16" s="75">
        <v>2</v>
      </c>
      <c r="BO16">
        <v>2</v>
      </c>
      <c r="BP16">
        <v>6.5425000000000066</v>
      </c>
      <c r="BZ16" s="42">
        <v>6</v>
      </c>
      <c r="CA16" s="42">
        <v>3</v>
      </c>
      <c r="CC16">
        <v>3</v>
      </c>
      <c r="CE16">
        <f t="shared" si="11"/>
        <v>14</v>
      </c>
      <c r="CF16" s="75">
        <v>2</v>
      </c>
      <c r="CH16" t="s">
        <v>260</v>
      </c>
      <c r="CI16" s="71">
        <f>SUM(CP3:CP57)</f>
        <v>407.91482128982125</v>
      </c>
      <c r="CM16" s="61">
        <f t="array" ref="CM16">SUM(ABS(TRANSPOSE($BZ15:$CA15)-CI$3:CI$4)^$CI$8)</f>
        <v>14.770710059171597</v>
      </c>
      <c r="CN16">
        <f t="array" ref="CN16">SUM(ABS(TRANSPOSE($BZ15:$CA15)-CJ$3:CJ$4)^$CI$8)</f>
        <v>2.0594135802469133</v>
      </c>
      <c r="CO16" s="62">
        <f t="array" ref="CO16">SUM(ABS(TRANSPOSE($BZ15:$CA15)-CK$3:CK$4)^$CI$8)</f>
        <v>14.861570247933882</v>
      </c>
      <c r="CP16" s="75">
        <f t="shared" si="10"/>
        <v>2.0594135802469133</v>
      </c>
      <c r="CS16">
        <v>2</v>
      </c>
      <c r="CT16">
        <v>6.5425000000000066</v>
      </c>
      <c r="CV16" s="61">
        <v>29.43905817174516</v>
      </c>
      <c r="CW16" t="str">
        <v/>
      </c>
      <c r="CX16" s="62">
        <v>32.363905325443788</v>
      </c>
      <c r="CZ16" s="68" t="s">
        <v>211</v>
      </c>
      <c r="DA16" s="68">
        <f>DEVSQ(CV5:CX30)</f>
        <v>27225.301035907731</v>
      </c>
      <c r="DB16" s="68">
        <f>COUNT(CV5:CX30)-1</f>
        <v>54</v>
      </c>
      <c r="DC16" s="68">
        <f>DA16/DB16</f>
        <v>504.17224140569874</v>
      </c>
      <c r="DD16" s="68"/>
      <c r="DE16" s="68"/>
      <c r="DF16" s="68"/>
      <c r="DG16" s="68"/>
      <c r="DH16" s="68"/>
      <c r="DJ16" t="s">
        <v>224</v>
      </c>
      <c r="DN16" s="77" t="str">
        <f>IF(DN14&lt;DN15,"yes","no")</f>
        <v>no</v>
      </c>
      <c r="ES16" s="75">
        <v>1</v>
      </c>
      <c r="ET16" s="49" t="s">
        <v>155</v>
      </c>
      <c r="EV16" s="35" t="s">
        <v>155</v>
      </c>
      <c r="EW16">
        <v>10</v>
      </c>
      <c r="EX16">
        <v>1</v>
      </c>
      <c r="EZ16">
        <v>11</v>
      </c>
      <c r="FC16" s="35" t="s">
        <v>155</v>
      </c>
      <c r="FD16">
        <v>10</v>
      </c>
      <c r="FE16">
        <v>1</v>
      </c>
      <c r="FF16">
        <v>0</v>
      </c>
      <c r="FG16">
        <v>11</v>
      </c>
      <c r="FI16" t="str">
        <f t="shared" si="18"/>
        <v>P1MOB</v>
      </c>
      <c r="FJ16" s="61">
        <v>0.94545454545454544</v>
      </c>
      <c r="FK16">
        <v>0.65454545454545454</v>
      </c>
      <c r="FL16" s="62">
        <v>0.4</v>
      </c>
      <c r="FM16">
        <f t="shared" si="19"/>
        <v>2</v>
      </c>
      <c r="FV16" s="35" t="s">
        <v>155</v>
      </c>
      <c r="FW16">
        <v>1</v>
      </c>
      <c r="FX16">
        <v>1</v>
      </c>
      <c r="FZ16">
        <v>11</v>
      </c>
      <c r="GB16" t="str">
        <f t="shared" si="27"/>
        <v>A3MOB</v>
      </c>
      <c r="GC16" s="61">
        <f t="shared" si="28"/>
        <v>2.1739130434782608E-2</v>
      </c>
      <c r="GD16">
        <f t="shared" si="29"/>
        <v>0</v>
      </c>
      <c r="GE16" s="62">
        <f t="shared" si="30"/>
        <v>0</v>
      </c>
      <c r="GF16">
        <f t="shared" si="31"/>
        <v>2.1739130434782608E-2</v>
      </c>
      <c r="GM16" t="str">
        <f t="shared" si="32"/>
        <v>A3MOB</v>
      </c>
      <c r="GN16">
        <f t="shared" si="33"/>
        <v>0.99999999999999756</v>
      </c>
      <c r="GO16">
        <f t="shared" si="34"/>
        <v>2.1739130434782608E-2</v>
      </c>
      <c r="GP16">
        <f t="shared" si="35"/>
        <v>1.7058823529411764</v>
      </c>
      <c r="GQ16">
        <f t="shared" si="36"/>
        <v>2.1559530261064809E-2</v>
      </c>
      <c r="GR16">
        <v>-1.1368219113504969</v>
      </c>
      <c r="GS16">
        <v>-0.64305388173509626</v>
      </c>
      <c r="GT16">
        <f t="shared" si="37"/>
        <v>0.75759272372938458</v>
      </c>
      <c r="GU16">
        <f t="shared" si="38"/>
        <v>0.24240727627061301</v>
      </c>
      <c r="GV16">
        <f t="shared" si="39"/>
        <v>3.0524444954827888E-2</v>
      </c>
      <c r="GW16">
        <f t="shared" si="40"/>
        <v>1.1241301838778231E-2</v>
      </c>
      <c r="GY16" t="str">
        <f t="shared" si="23"/>
        <v>P1MDB</v>
      </c>
      <c r="GZ16" s="61">
        <f t="shared" si="24"/>
        <v>1.4596310125049941</v>
      </c>
      <c r="HA16" s="62">
        <f t="shared" si="25"/>
        <v>-1.0253270157134411</v>
      </c>
      <c r="HD16" s="80" t="s">
        <v>157</v>
      </c>
      <c r="HF16">
        <v>4</v>
      </c>
      <c r="HH16">
        <v>4</v>
      </c>
      <c r="HS16" s="80" t="s">
        <v>153</v>
      </c>
      <c r="HV16">
        <v>1</v>
      </c>
      <c r="HX16">
        <v>1</v>
      </c>
      <c r="ID16" s="79" t="s">
        <v>141</v>
      </c>
      <c r="IG16">
        <v>5</v>
      </c>
      <c r="II16">
        <v>5</v>
      </c>
      <c r="IN16" s="79" t="s">
        <v>141</v>
      </c>
      <c r="IQ16">
        <v>5</v>
      </c>
      <c r="IS16">
        <v>5</v>
      </c>
    </row>
    <row r="17" spans="12:253" x14ac:dyDescent="0.25">
      <c r="AE17" s="42">
        <v>-8</v>
      </c>
      <c r="AF17" s="42">
        <v>3</v>
      </c>
      <c r="AG17" s="42">
        <v>5</v>
      </c>
      <c r="AI17">
        <v>2</v>
      </c>
      <c r="AL17">
        <f t="shared" si="7"/>
        <v>16</v>
      </c>
      <c r="AM17" s="75">
        <v>3</v>
      </c>
      <c r="AT17" s="61">
        <f t="array" ref="AT17">SUM(ABS(TRANSPOSE($AE17:$AG17)-AP$2:AP$4)^$AP$8)</f>
        <v>205.13642659279779</v>
      </c>
      <c r="AU17">
        <f t="array" ref="AU17">SUM(ABS(TRANSPOSE($AE17:$AG17)-AQ$2:AQ$4)^$AP$8)</f>
        <v>77.442500000000024</v>
      </c>
      <c r="AV17" s="62">
        <f t="array" ref="AV17">SUM(ABS(TRANSPOSE($AE17:$AG17)-AR$2:AR$4)^$AP$8)</f>
        <v>20.960059171597631</v>
      </c>
      <c r="AW17" s="75">
        <f t="shared" si="2"/>
        <v>20.960059171597631</v>
      </c>
      <c r="AY17">
        <v>205.13642659279779</v>
      </c>
      <c r="AZ17">
        <v>77.442500000000024</v>
      </c>
      <c r="BA17">
        <v>20.960059171597631</v>
      </c>
      <c r="BB17">
        <v>20.960059171597631</v>
      </c>
      <c r="BH17">
        <v>16</v>
      </c>
      <c r="BI17">
        <v>-8</v>
      </c>
      <c r="BJ17">
        <v>3</v>
      </c>
      <c r="BK17">
        <v>5</v>
      </c>
      <c r="BM17" s="75">
        <v>3</v>
      </c>
      <c r="BO17">
        <v>3</v>
      </c>
      <c r="BP17">
        <v>20.960059171597631</v>
      </c>
      <c r="BZ17" s="42">
        <v>3</v>
      </c>
      <c r="CA17" s="42">
        <v>5</v>
      </c>
      <c r="CC17">
        <v>2</v>
      </c>
      <c r="CE17">
        <f t="shared" si="11"/>
        <v>15</v>
      </c>
      <c r="CF17" s="75">
        <v>1</v>
      </c>
      <c r="CM17" s="61">
        <f t="array" ref="CM17">SUM(ABS(TRANSPOSE($BZ16:$CA16)-CI$3:CI$4)^$CI$8)</f>
        <v>5.9171597633136147E-2</v>
      </c>
      <c r="CN17">
        <f t="array" ref="CN17">SUM(ABS(TRANSPOSE($BZ16:$CA16)-CJ$3:CJ$4)^$CI$8)</f>
        <v>24.226080246913579</v>
      </c>
      <c r="CO17" s="62">
        <f t="array" ref="CO17">SUM(ABS(TRANSPOSE($BZ16:$CA16)-CK$3:CK$4)^$CI$8)</f>
        <v>44.70247933884297</v>
      </c>
      <c r="CP17" s="75">
        <f t="shared" si="10"/>
        <v>5.9171597633136147E-2</v>
      </c>
      <c r="CS17">
        <v>3</v>
      </c>
      <c r="CT17">
        <v>20.960059171597631</v>
      </c>
      <c r="CV17" s="61">
        <v>4.3337950138504144</v>
      </c>
      <c r="CW17" t="str">
        <v/>
      </c>
      <c r="CX17" s="62">
        <v>14.517751479289942</v>
      </c>
      <c r="ES17" s="75">
        <v>2</v>
      </c>
      <c r="ET17" s="49" t="s">
        <v>164</v>
      </c>
      <c r="EV17" s="35" t="s">
        <v>167</v>
      </c>
      <c r="EY17">
        <v>2</v>
      </c>
      <c r="EZ17">
        <v>2</v>
      </c>
      <c r="FC17" s="35" t="s">
        <v>167</v>
      </c>
      <c r="FD17">
        <v>0</v>
      </c>
      <c r="FE17">
        <v>0</v>
      </c>
      <c r="FF17">
        <v>2</v>
      </c>
      <c r="FG17">
        <v>2</v>
      </c>
      <c r="FI17" t="str">
        <f t="shared" si="18"/>
        <v>P1NDB</v>
      </c>
      <c r="FJ17" s="61">
        <v>0.47272727272727272</v>
      </c>
      <c r="FK17">
        <v>0.32727272727272727</v>
      </c>
      <c r="FL17" s="62">
        <v>0.2</v>
      </c>
      <c r="FM17">
        <f t="shared" si="19"/>
        <v>1</v>
      </c>
      <c r="FV17" s="35" t="s">
        <v>167</v>
      </c>
      <c r="FY17">
        <v>2</v>
      </c>
      <c r="FZ17">
        <v>2</v>
      </c>
      <c r="GB17" t="str">
        <f t="shared" si="27"/>
        <v>P1MDB</v>
      </c>
      <c r="GC17" s="61">
        <f t="shared" si="28"/>
        <v>0</v>
      </c>
      <c r="GD17">
        <f t="shared" si="29"/>
        <v>0</v>
      </c>
      <c r="GE17" s="62">
        <f t="shared" si="30"/>
        <v>2.1739130434782608E-2</v>
      </c>
      <c r="GF17">
        <f t="shared" si="31"/>
        <v>2.1739130434782608E-2</v>
      </c>
      <c r="GM17" t="str">
        <f t="shared" si="32"/>
        <v>P1MDB</v>
      </c>
      <c r="GN17">
        <f t="shared" si="33"/>
        <v>1.0000000000000011</v>
      </c>
      <c r="GO17">
        <f t="shared" si="34"/>
        <v>2.1739130434782608E-2</v>
      </c>
      <c r="GP17">
        <f t="shared" si="35"/>
        <v>3.1818181818181817</v>
      </c>
      <c r="GQ17">
        <f t="shared" si="36"/>
        <v>4.0212916944619308E-2</v>
      </c>
      <c r="GR17">
        <v>1.4596310125049941</v>
      </c>
      <c r="GS17">
        <v>-1.0253270157134411</v>
      </c>
      <c r="GT17">
        <f t="shared" si="37"/>
        <v>0.66959284626656845</v>
      </c>
      <c r="GU17">
        <f t="shared" si="38"/>
        <v>0.33040715373343266</v>
      </c>
      <c r="GV17">
        <f t="shared" si="39"/>
        <v>5.0320977474085191E-2</v>
      </c>
      <c r="GW17">
        <f t="shared" si="40"/>
        <v>2.857897719035863E-2</v>
      </c>
      <c r="GY17" t="str">
        <f t="shared" si="23"/>
        <v>P1MOB</v>
      </c>
      <c r="GZ17" s="61">
        <f t="shared" si="24"/>
        <v>-1.1368219113504967</v>
      </c>
      <c r="HA17" s="62">
        <f t="shared" si="25"/>
        <v>-0.64305388173509614</v>
      </c>
      <c r="HD17" s="35" t="s">
        <v>173</v>
      </c>
      <c r="HG17">
        <v>1</v>
      </c>
      <c r="HH17">
        <v>1</v>
      </c>
      <c r="HS17" s="80" t="s">
        <v>157</v>
      </c>
      <c r="HV17">
        <v>4</v>
      </c>
      <c r="HX17">
        <v>4</v>
      </c>
      <c r="ID17" s="79" t="s">
        <v>150</v>
      </c>
      <c r="IG17">
        <v>1</v>
      </c>
      <c r="II17">
        <v>1</v>
      </c>
      <c r="IN17" s="79" t="s">
        <v>150</v>
      </c>
      <c r="IQ17">
        <v>1</v>
      </c>
      <c r="IS17">
        <v>1</v>
      </c>
    </row>
    <row r="18" spans="12:253" x14ac:dyDescent="0.25">
      <c r="AE18" s="42">
        <v>-4</v>
      </c>
      <c r="AF18" s="42">
        <v>-3</v>
      </c>
      <c r="AG18" s="42">
        <v>3</v>
      </c>
      <c r="AI18">
        <v>3</v>
      </c>
      <c r="AL18">
        <f t="shared" si="7"/>
        <v>17</v>
      </c>
      <c r="AM18" s="75">
        <v>3</v>
      </c>
      <c r="AT18" s="61">
        <f t="array" ref="AT18">SUM(ABS(TRANSPOSE($AE18:$AG18)-AP$2:AP$4)^$AP$8)</f>
        <v>155.2416897506925</v>
      </c>
      <c r="AU18">
        <f t="array" ref="AU18">SUM(ABS(TRANSPOSE($AE18:$AG18)-AQ$2:AQ$4)^$AP$8)</f>
        <v>208.84250000000003</v>
      </c>
      <c r="AV18" s="62">
        <f t="array" ref="AV18">SUM(ABS(TRANSPOSE($AE18:$AG18)-AR$2:AR$4)^$AP$8)</f>
        <v>27.883136094674558</v>
      </c>
      <c r="AW18" s="75">
        <f t="shared" si="2"/>
        <v>27.883136094674558</v>
      </c>
      <c r="AY18">
        <v>155.2416897506925</v>
      </c>
      <c r="AZ18">
        <v>208.84250000000003</v>
      </c>
      <c r="BA18">
        <v>27.883136094674558</v>
      </c>
      <c r="BB18">
        <v>27.883136094674558</v>
      </c>
      <c r="BH18">
        <v>17</v>
      </c>
      <c r="BI18">
        <v>-4</v>
      </c>
      <c r="BJ18">
        <v>-3</v>
      </c>
      <c r="BK18">
        <v>3</v>
      </c>
      <c r="BM18" s="75">
        <v>3</v>
      </c>
      <c r="BO18">
        <v>3</v>
      </c>
      <c r="BP18">
        <v>27.883136094674558</v>
      </c>
      <c r="BZ18" s="42">
        <v>-3</v>
      </c>
      <c r="CA18" s="42">
        <v>3</v>
      </c>
      <c r="CC18">
        <v>3</v>
      </c>
      <c r="CE18">
        <f t="shared" si="11"/>
        <v>16</v>
      </c>
      <c r="CF18" s="75">
        <v>2</v>
      </c>
      <c r="CM18" s="61">
        <f t="array" ref="CM18">SUM(ABS(TRANSPOSE($BZ17:$CA17)-CI$3:CI$4)^$CI$8)</f>
        <v>14.136094674556213</v>
      </c>
      <c r="CN18">
        <f t="array" ref="CN18">SUM(ABS(TRANSPOSE($BZ17:$CA17)-CJ$3:CJ$4)^$CI$8)</f>
        <v>2.1705246913580249</v>
      </c>
      <c r="CO18" s="62">
        <f t="array" ref="CO18">SUM(ABS(TRANSPOSE($BZ17:$CA17)-CK$3:CK$4)^$CI$8)</f>
        <v>23.884297520661157</v>
      </c>
      <c r="CP18" s="75">
        <f t="shared" si="10"/>
        <v>2.1705246913580249</v>
      </c>
      <c r="CS18">
        <v>3</v>
      </c>
      <c r="CT18">
        <v>27.883136094674558</v>
      </c>
      <c r="CV18" s="61">
        <v>58.33379501385042</v>
      </c>
      <c r="CW18" t="str">
        <v/>
      </c>
      <c r="CX18" s="62">
        <v>15.498520710059175</v>
      </c>
      <c r="ES18" s="75">
        <v>3</v>
      </c>
      <c r="ET18" s="49" t="s">
        <v>167</v>
      </c>
      <c r="EV18" s="35" t="s">
        <v>162</v>
      </c>
      <c r="EX18">
        <v>5</v>
      </c>
      <c r="EZ18">
        <v>5</v>
      </c>
      <c r="FC18" s="35" t="s">
        <v>162</v>
      </c>
      <c r="FD18">
        <v>0</v>
      </c>
      <c r="FE18">
        <v>5</v>
      </c>
      <c r="FF18">
        <v>0</v>
      </c>
      <c r="FG18">
        <v>5</v>
      </c>
      <c r="FI18" t="str">
        <f t="shared" si="18"/>
        <v>P1NN</v>
      </c>
      <c r="FJ18" s="61">
        <v>0.94545454545454544</v>
      </c>
      <c r="FK18">
        <v>0.65454545454545454</v>
      </c>
      <c r="FL18" s="62">
        <v>0.4</v>
      </c>
      <c r="FM18">
        <f t="shared" si="19"/>
        <v>2</v>
      </c>
      <c r="FV18" s="35" t="s">
        <v>162</v>
      </c>
      <c r="FX18">
        <v>5</v>
      </c>
      <c r="FZ18">
        <v>5</v>
      </c>
      <c r="GB18" t="str">
        <f t="shared" si="27"/>
        <v>P1MOB</v>
      </c>
      <c r="GC18" s="61">
        <f t="shared" si="28"/>
        <v>4.3478260869565216E-2</v>
      </c>
      <c r="GD18">
        <f t="shared" si="29"/>
        <v>0</v>
      </c>
      <c r="GE18" s="62">
        <f t="shared" si="30"/>
        <v>0</v>
      </c>
      <c r="GF18">
        <f t="shared" si="31"/>
        <v>4.3478260869565216E-2</v>
      </c>
      <c r="GM18" t="str">
        <f t="shared" si="32"/>
        <v>P1MOB</v>
      </c>
      <c r="GN18">
        <f t="shared" si="33"/>
        <v>0.99999999999999711</v>
      </c>
      <c r="GO18">
        <f t="shared" si="34"/>
        <v>4.3478260869565216E-2</v>
      </c>
      <c r="GP18">
        <f t="shared" si="35"/>
        <v>1.7058823529411764</v>
      </c>
      <c r="GQ18">
        <f t="shared" si="36"/>
        <v>4.3119060522129618E-2</v>
      </c>
      <c r="GR18">
        <v>-1.1368219113504967</v>
      </c>
      <c r="GS18">
        <v>-0.64305388173509614</v>
      </c>
      <c r="GT18">
        <f t="shared" si="37"/>
        <v>0.75759272372938413</v>
      </c>
      <c r="GU18">
        <f t="shared" si="38"/>
        <v>0.24240727627061295</v>
      </c>
      <c r="GV18">
        <f t="shared" si="39"/>
        <v>6.1048889909655749E-2</v>
      </c>
      <c r="GW18">
        <f t="shared" si="40"/>
        <v>2.2482603677556456E-2</v>
      </c>
      <c r="GY18" t="str">
        <f t="shared" si="23"/>
        <v>P1NDB</v>
      </c>
      <c r="GZ18" s="61">
        <f t="shared" si="24"/>
        <v>1.4596310125049941</v>
      </c>
      <c r="HA18" s="62">
        <f t="shared" si="25"/>
        <v>-1.0253270157134415</v>
      </c>
      <c r="HD18" s="35" t="s">
        <v>197</v>
      </c>
      <c r="HG18">
        <v>1</v>
      </c>
      <c r="HH18">
        <v>1</v>
      </c>
      <c r="HS18" s="35" t="s">
        <v>173</v>
      </c>
      <c r="HW18">
        <v>1</v>
      </c>
      <c r="HX18">
        <v>1</v>
      </c>
      <c r="ID18" s="35" t="s">
        <v>173</v>
      </c>
      <c r="IH18">
        <v>1</v>
      </c>
      <c r="II18">
        <v>1</v>
      </c>
      <c r="IN18" s="80" t="s">
        <v>177</v>
      </c>
      <c r="IO18">
        <v>1</v>
      </c>
      <c r="IR18">
        <v>1</v>
      </c>
      <c r="IS18">
        <v>2</v>
      </c>
    </row>
    <row r="19" spans="12:253" x14ac:dyDescent="0.25">
      <c r="AE19" s="10">
        <v>-8</v>
      </c>
      <c r="AF19" s="10">
        <v>4</v>
      </c>
      <c r="AG19" s="10">
        <v>2</v>
      </c>
      <c r="AI19">
        <v>1</v>
      </c>
      <c r="AL19">
        <f t="shared" si="7"/>
        <v>18</v>
      </c>
      <c r="AM19" s="75">
        <v>3</v>
      </c>
      <c r="AT19" s="61">
        <f t="array" ref="AT19">SUM(ABS(TRANSPOSE($AE19:$AG19)-AP$2:AP$4)^$AP$8)</f>
        <v>206.08379501385042</v>
      </c>
      <c r="AU19">
        <f t="array" ref="AU19">SUM(ABS(TRANSPOSE($AE19:$AG19)-AQ$2:AQ$4)^$AP$8)</f>
        <v>66.34250000000003</v>
      </c>
      <c r="AV19" s="62">
        <f t="array" ref="AV19">SUM(ABS(TRANSPOSE($AE19:$AG19)-AR$2:AR$4)^$AP$8)</f>
        <v>24.421597633136091</v>
      </c>
      <c r="AW19" s="75">
        <f t="shared" si="2"/>
        <v>24.421597633136091</v>
      </c>
      <c r="AY19">
        <v>206.08379501385042</v>
      </c>
      <c r="AZ19">
        <v>66.34250000000003</v>
      </c>
      <c r="BA19">
        <v>24.421597633136091</v>
      </c>
      <c r="BB19">
        <v>24.421597633136091</v>
      </c>
      <c r="BH19">
        <v>18</v>
      </c>
      <c r="BI19">
        <v>-8</v>
      </c>
      <c r="BJ19">
        <v>4</v>
      </c>
      <c r="BK19">
        <v>2</v>
      </c>
      <c r="BM19" s="75">
        <v>3</v>
      </c>
      <c r="BO19">
        <v>3</v>
      </c>
      <c r="BP19">
        <v>24.421597633136091</v>
      </c>
      <c r="BZ19" s="10">
        <v>4</v>
      </c>
      <c r="CA19" s="10">
        <v>2</v>
      </c>
      <c r="CC19">
        <v>1</v>
      </c>
      <c r="CE19">
        <f t="shared" si="11"/>
        <v>17</v>
      </c>
      <c r="CF19" s="75">
        <v>3</v>
      </c>
      <c r="CM19" s="61">
        <f t="array" ref="CM19">SUM(ABS(TRANSPOSE($BZ18:$CA18)-CI$3:CI$4)^$CI$8)</f>
        <v>85.213017751479271</v>
      </c>
      <c r="CN19">
        <f t="array" ref="CN19">SUM(ABS(TRANSPOSE($BZ18:$CA18)-CJ$3:CJ$4)^$CI$8)</f>
        <v>24.726080246913579</v>
      </c>
      <c r="CO19" s="62">
        <f t="array" ref="CO19">SUM(ABS(TRANSPOSE($BZ18:$CA18)-CK$3:CK$4)^$CI$8)</f>
        <v>7.884297520661157</v>
      </c>
      <c r="CP19" s="75">
        <f t="shared" si="10"/>
        <v>7.884297520661157</v>
      </c>
      <c r="CS19">
        <v>3</v>
      </c>
      <c r="CT19">
        <v>24.421597633136091</v>
      </c>
      <c r="CV19" s="61">
        <v>11.439058171745151</v>
      </c>
      <c r="CW19" t="str">
        <v/>
      </c>
      <c r="CX19" s="62">
        <v>32.517751479289942</v>
      </c>
      <c r="ES19" s="75">
        <v>1</v>
      </c>
      <c r="ET19" s="49" t="s">
        <v>169</v>
      </c>
      <c r="EV19" s="35" t="s">
        <v>145</v>
      </c>
      <c r="EW19">
        <v>2</v>
      </c>
      <c r="EX19">
        <v>1</v>
      </c>
      <c r="EZ19">
        <v>3</v>
      </c>
      <c r="FC19" s="35" t="s">
        <v>145</v>
      </c>
      <c r="FD19">
        <v>2</v>
      </c>
      <c r="FE19">
        <v>1</v>
      </c>
      <c r="FF19">
        <v>0</v>
      </c>
      <c r="FG19">
        <v>3</v>
      </c>
      <c r="FI19" t="str">
        <f t="shared" si="18"/>
        <v>P1NOB</v>
      </c>
      <c r="FJ19" s="61">
        <v>5.2</v>
      </c>
      <c r="FK19">
        <v>3.6</v>
      </c>
      <c r="FL19" s="62">
        <v>2.2000000000000002</v>
      </c>
      <c r="FM19">
        <f t="shared" si="19"/>
        <v>11</v>
      </c>
      <c r="FV19" s="35" t="s">
        <v>145</v>
      </c>
      <c r="FW19">
        <v>2</v>
      </c>
      <c r="FX19">
        <v>1</v>
      </c>
      <c r="FZ19">
        <v>3</v>
      </c>
      <c r="GB19" t="str">
        <f t="shared" si="27"/>
        <v>P1NDB</v>
      </c>
      <c r="GC19" s="61">
        <f t="shared" si="28"/>
        <v>0</v>
      </c>
      <c r="GD19">
        <f t="shared" si="29"/>
        <v>0</v>
      </c>
      <c r="GE19" s="62">
        <f t="shared" si="30"/>
        <v>2.1739130434782608E-2</v>
      </c>
      <c r="GF19">
        <f t="shared" si="31"/>
        <v>2.1739130434782608E-2</v>
      </c>
      <c r="GM19" t="str">
        <f t="shared" si="32"/>
        <v>P1NDB</v>
      </c>
      <c r="GN19">
        <f t="shared" si="33"/>
        <v>1.0000000000000013</v>
      </c>
      <c r="GO19">
        <f t="shared" si="34"/>
        <v>2.1739130434782608E-2</v>
      </c>
      <c r="GP19">
        <f t="shared" si="35"/>
        <v>3.1818181818181817</v>
      </c>
      <c r="GQ19">
        <f t="shared" si="36"/>
        <v>4.0212916944619308E-2</v>
      </c>
      <c r="GR19">
        <v>1.4596310125049941</v>
      </c>
      <c r="GS19">
        <v>-1.0253270157134415</v>
      </c>
      <c r="GT19">
        <f t="shared" si="37"/>
        <v>0.66959284626656845</v>
      </c>
      <c r="GU19">
        <f t="shared" si="38"/>
        <v>0.33040715373343293</v>
      </c>
      <c r="GV19">
        <f t="shared" si="39"/>
        <v>5.0320977474085191E-2</v>
      </c>
      <c r="GW19">
        <f t="shared" si="40"/>
        <v>2.8578977190358658E-2</v>
      </c>
      <c r="GY19" t="str">
        <f t="shared" si="23"/>
        <v>P1NN</v>
      </c>
      <c r="GZ19" s="61">
        <f t="shared" si="24"/>
        <v>1.4596310125049936</v>
      </c>
      <c r="HA19" s="62">
        <f t="shared" si="25"/>
        <v>-1.0253270157134413</v>
      </c>
      <c r="HD19" s="35" t="s">
        <v>179</v>
      </c>
      <c r="HG19">
        <v>1</v>
      </c>
      <c r="HH19">
        <v>1</v>
      </c>
      <c r="HS19" s="35" t="s">
        <v>197</v>
      </c>
      <c r="HW19">
        <v>1</v>
      </c>
      <c r="HX19">
        <v>1</v>
      </c>
      <c r="ID19" s="35" t="s">
        <v>197</v>
      </c>
      <c r="IH19">
        <v>1</v>
      </c>
      <c r="II19">
        <v>1</v>
      </c>
      <c r="IN19" s="80" t="s">
        <v>164</v>
      </c>
      <c r="IR19">
        <v>3</v>
      </c>
      <c r="IS19">
        <v>3</v>
      </c>
    </row>
    <row r="20" spans="12:253" x14ac:dyDescent="0.25">
      <c r="AE20" s="10">
        <v>-1</v>
      </c>
      <c r="AF20" s="10">
        <v>2.5</v>
      </c>
      <c r="AG20" s="10">
        <v>1</v>
      </c>
      <c r="AI20">
        <v>3</v>
      </c>
      <c r="AL20">
        <f t="shared" si="7"/>
        <v>19</v>
      </c>
      <c r="AM20" s="75">
        <v>3</v>
      </c>
      <c r="AT20" s="61">
        <f t="array" ref="AT20">SUM(ABS(TRANSPOSE($AE20:$AG20)-AP$2:AP$4)^$AP$8)</f>
        <v>62.860110803324091</v>
      </c>
      <c r="AU20">
        <f t="array" ref="AU20">SUM(ABS(TRANSPOSE($AE20:$AG20)-AQ$2:AQ$4)^$AP$8)</f>
        <v>234.74250000000006</v>
      </c>
      <c r="AV20" s="62">
        <f t="array" ref="AV20">SUM(ABS(TRANSPOSE($AE20:$AG20)-AR$2:AR$4)^$AP$8)</f>
        <v>14.363905325443787</v>
      </c>
      <c r="AW20" s="75">
        <f t="shared" si="2"/>
        <v>14.363905325443787</v>
      </c>
      <c r="AY20">
        <v>62.860110803324091</v>
      </c>
      <c r="AZ20">
        <v>234.74250000000006</v>
      </c>
      <c r="BA20">
        <v>14.363905325443787</v>
      </c>
      <c r="BB20">
        <v>14.363905325443787</v>
      </c>
      <c r="BH20">
        <v>19</v>
      </c>
      <c r="BI20">
        <v>-1</v>
      </c>
      <c r="BJ20">
        <v>2.5</v>
      </c>
      <c r="BK20">
        <v>1</v>
      </c>
      <c r="BM20" s="75">
        <v>3</v>
      </c>
      <c r="BO20">
        <v>3</v>
      </c>
      <c r="BP20">
        <v>14.363905325443787</v>
      </c>
      <c r="BZ20" s="10">
        <v>2.5</v>
      </c>
      <c r="CA20" s="10">
        <v>1</v>
      </c>
      <c r="CC20">
        <v>3</v>
      </c>
      <c r="CE20">
        <f t="shared" si="11"/>
        <v>18</v>
      </c>
      <c r="CF20" s="75">
        <v>1</v>
      </c>
      <c r="CM20" s="61">
        <f t="array" ref="CM20">SUM(ABS(TRANSPOSE($BZ19:$CA19)-CI$3:CI$4)^$CI$8)</f>
        <v>6.1360946745562135</v>
      </c>
      <c r="CN20">
        <f t="array" ref="CN20">SUM(ABS(TRANSPOSE($BZ19:$CA19)-CJ$3:CJ$4)^$CI$8)</f>
        <v>15.448302469135802</v>
      </c>
      <c r="CO20" s="62">
        <f t="array" ref="CO20">SUM(ABS(TRANSPOSE($BZ19:$CA19)-CK$3:CK$4)^$CI$8)</f>
        <v>20.79338842975206</v>
      </c>
      <c r="CP20" s="75">
        <f t="shared" si="10"/>
        <v>6.1360946745562135</v>
      </c>
      <c r="CS20">
        <v>3</v>
      </c>
      <c r="CT20">
        <v>14.363905325443787</v>
      </c>
      <c r="CV20" s="61">
        <v>26.294321329639889</v>
      </c>
      <c r="CW20" t="str">
        <v/>
      </c>
      <c r="CX20" s="62">
        <v>27.594674556213018</v>
      </c>
      <c r="ES20" s="75">
        <v>3</v>
      </c>
      <c r="ET20" s="49" t="s">
        <v>171</v>
      </c>
      <c r="EV20" s="35" t="s">
        <v>195</v>
      </c>
      <c r="EY20">
        <v>1</v>
      </c>
      <c r="EZ20">
        <v>1</v>
      </c>
      <c r="FC20" s="35" t="s">
        <v>195</v>
      </c>
      <c r="FD20">
        <v>0</v>
      </c>
      <c r="FE20">
        <v>0</v>
      </c>
      <c r="FF20">
        <v>1</v>
      </c>
      <c r="FG20">
        <v>1</v>
      </c>
      <c r="FI20" t="str">
        <f t="shared" si="18"/>
        <v>P2DDB</v>
      </c>
      <c r="FJ20" s="61">
        <v>0.94545454545454544</v>
      </c>
      <c r="FK20">
        <v>0.65454545454545454</v>
      </c>
      <c r="FL20" s="62">
        <v>0.4</v>
      </c>
      <c r="FM20">
        <f t="shared" si="19"/>
        <v>2</v>
      </c>
      <c r="FV20" s="35" t="s">
        <v>195</v>
      </c>
      <c r="FY20">
        <v>1</v>
      </c>
      <c r="FZ20">
        <v>1</v>
      </c>
      <c r="GB20" t="str">
        <f t="shared" si="27"/>
        <v>P1NN</v>
      </c>
      <c r="GC20" s="61">
        <f t="shared" si="28"/>
        <v>0</v>
      </c>
      <c r="GD20">
        <f t="shared" si="29"/>
        <v>0</v>
      </c>
      <c r="GE20" s="62">
        <f t="shared" si="30"/>
        <v>4.3478260869565216E-2</v>
      </c>
      <c r="GF20">
        <f t="shared" si="31"/>
        <v>4.3478260869565216E-2</v>
      </c>
      <c r="GM20" t="str">
        <f t="shared" si="32"/>
        <v>P1NN</v>
      </c>
      <c r="GN20">
        <f t="shared" si="33"/>
        <v>1.0000000000000009</v>
      </c>
      <c r="GO20">
        <f t="shared" si="34"/>
        <v>4.3478260869565216E-2</v>
      </c>
      <c r="GP20">
        <f t="shared" si="35"/>
        <v>3.1818181818181817</v>
      </c>
      <c r="GQ20">
        <f t="shared" si="36"/>
        <v>8.0425833889238615E-2</v>
      </c>
      <c r="GR20">
        <v>1.4596310125049936</v>
      </c>
      <c r="GS20">
        <v>-1.0253270157134413</v>
      </c>
      <c r="GT20">
        <f t="shared" si="37"/>
        <v>0.66959284626656801</v>
      </c>
      <c r="GU20">
        <f t="shared" si="38"/>
        <v>0.33040715373343282</v>
      </c>
      <c r="GV20">
        <f t="shared" si="39"/>
        <v>0.10064195494817033</v>
      </c>
      <c r="GW20">
        <f t="shared" si="40"/>
        <v>5.7157954380717288E-2</v>
      </c>
      <c r="GY20" t="str">
        <f t="shared" si="23"/>
        <v>P1NOB</v>
      </c>
      <c r="GZ20" s="61">
        <f t="shared" si="24"/>
        <v>-0.47757675135848093</v>
      </c>
      <c r="HA20" s="62">
        <f t="shared" si="25"/>
        <v>0.29543175808646588</v>
      </c>
      <c r="HD20" s="35" t="s">
        <v>185</v>
      </c>
      <c r="HG20">
        <v>2</v>
      </c>
      <c r="HH20">
        <v>2</v>
      </c>
      <c r="HS20" s="35" t="s">
        <v>179</v>
      </c>
      <c r="HW20">
        <v>1</v>
      </c>
      <c r="HX20">
        <v>1</v>
      </c>
      <c r="ID20" s="35" t="s">
        <v>179</v>
      </c>
      <c r="IH20">
        <v>1</v>
      </c>
      <c r="II20">
        <v>1</v>
      </c>
      <c r="IN20" s="80" t="s">
        <v>171</v>
      </c>
      <c r="IO20">
        <v>1</v>
      </c>
      <c r="IR20">
        <v>1</v>
      </c>
      <c r="IS20">
        <v>2</v>
      </c>
    </row>
    <row r="21" spans="12:253" x14ac:dyDescent="0.25">
      <c r="AE21" s="10">
        <v>-2</v>
      </c>
      <c r="AF21" s="10">
        <v>5</v>
      </c>
      <c r="AG21" s="10">
        <v>3</v>
      </c>
      <c r="AI21">
        <v>1</v>
      </c>
      <c r="AL21">
        <f t="shared" si="7"/>
        <v>20</v>
      </c>
      <c r="AM21" s="75">
        <v>3</v>
      </c>
      <c r="AT21" s="61">
        <f t="array" ref="AT21">SUM(ABS(TRANSPOSE($AE21:$AG21)-AP$2:AP$4)^$AP$8)</f>
        <v>69.452216066481981</v>
      </c>
      <c r="AU21">
        <f t="array" ref="AU21">SUM(ABS(TRANSPOSE($AE21:$AG21)-AQ$2:AQ$4)^$AP$8)</f>
        <v>199.64250000000004</v>
      </c>
      <c r="AV21" s="62">
        <f t="array" ref="AV21">SUM(ABS(TRANSPOSE($AE21:$AG21)-AR$2:AR$4)^$AP$8)</f>
        <v>10.960059171597633</v>
      </c>
      <c r="AW21" s="75">
        <f t="shared" si="2"/>
        <v>10.960059171597633</v>
      </c>
      <c r="AY21">
        <v>69.452216066481981</v>
      </c>
      <c r="AZ21">
        <v>199.64250000000004</v>
      </c>
      <c r="BA21">
        <v>10.960059171597633</v>
      </c>
      <c r="BB21">
        <v>10.960059171597633</v>
      </c>
      <c r="BH21">
        <v>20</v>
      </c>
      <c r="BI21">
        <v>-2</v>
      </c>
      <c r="BJ21">
        <v>5</v>
      </c>
      <c r="BK21">
        <v>3</v>
      </c>
      <c r="BM21" s="75">
        <v>3</v>
      </c>
      <c r="BO21">
        <v>3</v>
      </c>
      <c r="BP21">
        <v>10.960059171597633</v>
      </c>
      <c r="BZ21" s="10">
        <v>5</v>
      </c>
      <c r="CA21" s="10">
        <v>3</v>
      </c>
      <c r="CC21">
        <v>1</v>
      </c>
      <c r="CE21">
        <f t="shared" si="11"/>
        <v>19</v>
      </c>
      <c r="CF21" s="75">
        <v>3</v>
      </c>
      <c r="CM21" s="61">
        <f t="array" ref="CM21">SUM(ABS(TRANSPOSE($BZ20:$CA20)-CI$3:CI$4)^$CI$8)</f>
        <v>18.232248520710058</v>
      </c>
      <c r="CN21">
        <f t="array" ref="CN21">SUM(ABS(TRANSPOSE($BZ20:$CA20)-CJ$3:CJ$4)^$CI$8)</f>
        <v>17.392746913580243</v>
      </c>
      <c r="CO21" s="62">
        <f t="array" ref="CO21">SUM(ABS(TRANSPOSE($BZ20:$CA20)-CK$3:CK$4)^$CI$8)</f>
        <v>9.6797520661157019</v>
      </c>
      <c r="CP21" s="75">
        <f t="shared" si="10"/>
        <v>9.6797520661157019</v>
      </c>
      <c r="CS21">
        <v>3</v>
      </c>
      <c r="CT21">
        <v>10.960059171597633</v>
      </c>
      <c r="CV21" s="61">
        <v>37.241689750692515</v>
      </c>
      <c r="CW21" t="str">
        <v/>
      </c>
      <c r="CX21" s="62">
        <v>7.4408284023668632</v>
      </c>
      <c r="ES21" s="75">
        <v>1</v>
      </c>
      <c r="ET21" s="49" t="s">
        <v>169</v>
      </c>
      <c r="EV21" s="35" t="s">
        <v>193</v>
      </c>
      <c r="EY21">
        <v>1</v>
      </c>
      <c r="EZ21">
        <v>1</v>
      </c>
      <c r="FC21" s="35" t="s">
        <v>193</v>
      </c>
      <c r="FD21">
        <v>0</v>
      </c>
      <c r="FE21">
        <v>0</v>
      </c>
      <c r="FF21">
        <v>1</v>
      </c>
      <c r="FG21">
        <v>1</v>
      </c>
      <c r="FI21" t="str">
        <f t="shared" si="18"/>
        <v>P2DN</v>
      </c>
      <c r="FJ21" s="61">
        <v>2.3636363636363638</v>
      </c>
      <c r="FK21">
        <v>1.6363636363636365</v>
      </c>
      <c r="FL21" s="62">
        <v>1</v>
      </c>
      <c r="FM21">
        <f t="shared" si="19"/>
        <v>5</v>
      </c>
      <c r="FV21" s="35" t="s">
        <v>193</v>
      </c>
      <c r="FY21">
        <v>1</v>
      </c>
      <c r="FZ21">
        <v>1</v>
      </c>
      <c r="GB21" t="str">
        <f t="shared" si="27"/>
        <v>P1NOB</v>
      </c>
      <c r="GC21" s="61">
        <f t="shared" si="28"/>
        <v>2.1739130434782608E-2</v>
      </c>
      <c r="GD21">
        <f t="shared" si="29"/>
        <v>2.1739130434782608E-2</v>
      </c>
      <c r="GE21" s="62">
        <f t="shared" si="30"/>
        <v>0</v>
      </c>
      <c r="GF21">
        <f t="shared" si="31"/>
        <v>4.3478260869565216E-2</v>
      </c>
      <c r="GM21" t="str">
        <f t="shared" si="32"/>
        <v>P1NOB</v>
      </c>
      <c r="GN21">
        <f t="shared" si="33"/>
        <v>0.99999999999999156</v>
      </c>
      <c r="GO21">
        <f t="shared" si="34"/>
        <v>4.3478260869565216E-2</v>
      </c>
      <c r="GP21">
        <f t="shared" si="35"/>
        <v>0.31535947712418305</v>
      </c>
      <c r="GQ21">
        <f t="shared" si="36"/>
        <v>7.9712439470986749E-3</v>
      </c>
      <c r="GR21">
        <v>-0.47757675135848093</v>
      </c>
      <c r="GS21">
        <v>0.29543175808646588</v>
      </c>
      <c r="GT21">
        <f t="shared" si="37"/>
        <v>0.72323671867424666</v>
      </c>
      <c r="GU21">
        <f t="shared" si="38"/>
        <v>0.2767632813257449</v>
      </c>
      <c r="GV21">
        <f t="shared" si="39"/>
        <v>1.0774056629732806E-2</v>
      </c>
      <c r="GW21">
        <f t="shared" si="40"/>
        <v>4.7453279766520697E-3</v>
      </c>
      <c r="GY21" t="str">
        <f t="shared" si="23"/>
        <v>P2DDB</v>
      </c>
      <c r="GZ21" s="61">
        <f t="shared" si="24"/>
        <v>1.4596310125049936</v>
      </c>
      <c r="HA21" s="62">
        <f t="shared" si="25"/>
        <v>-1.0253270157134409</v>
      </c>
      <c r="HD21" s="35" t="s">
        <v>167</v>
      </c>
      <c r="HG21">
        <v>2</v>
      </c>
      <c r="HH21">
        <v>2</v>
      </c>
      <c r="HS21" s="35" t="s">
        <v>185</v>
      </c>
      <c r="HW21">
        <v>2</v>
      </c>
      <c r="HX21">
        <v>2</v>
      </c>
      <c r="ID21" s="35" t="s">
        <v>185</v>
      </c>
      <c r="IH21">
        <v>2</v>
      </c>
      <c r="II21">
        <v>2</v>
      </c>
      <c r="IN21" s="80" t="s">
        <v>175</v>
      </c>
      <c r="IR21">
        <v>1</v>
      </c>
      <c r="IS21">
        <v>1</v>
      </c>
    </row>
    <row r="22" spans="12:253" x14ac:dyDescent="0.25">
      <c r="AE22" s="10">
        <v>3</v>
      </c>
      <c r="AF22" s="10">
        <v>1.5</v>
      </c>
      <c r="AG22" s="10">
        <v>-1</v>
      </c>
      <c r="AI22">
        <v>3</v>
      </c>
      <c r="AL22">
        <f t="shared" si="7"/>
        <v>21</v>
      </c>
      <c r="AM22" s="75">
        <v>1</v>
      </c>
      <c r="AT22" s="61">
        <f t="array" ref="AT22">SUM(ABS(TRANSPOSE($AE22:$AG22)-AP$2:AP$4)^$AP$8)</f>
        <v>40.439058171745145</v>
      </c>
      <c r="AU22">
        <f t="array" ref="AU22">SUM(ABS(TRANSPOSE($AE22:$AG22)-AQ$2:AQ$4)^$AP$8)</f>
        <v>385.6425000000001</v>
      </c>
      <c r="AV22" s="62">
        <f t="array" ref="AV22">SUM(ABS(TRANSPOSE($AE22:$AG22)-AR$2:AR$4)^$AP$8)</f>
        <v>66.979289940828409</v>
      </c>
      <c r="AW22" s="75">
        <f t="shared" si="2"/>
        <v>40.439058171745145</v>
      </c>
      <c r="AY22">
        <v>40.439058171745145</v>
      </c>
      <c r="AZ22">
        <v>385.6425000000001</v>
      </c>
      <c r="BA22">
        <v>66.979289940828409</v>
      </c>
      <c r="BB22">
        <v>40.439058171745145</v>
      </c>
      <c r="BH22">
        <v>21</v>
      </c>
      <c r="BI22">
        <v>3</v>
      </c>
      <c r="BJ22">
        <v>1.5</v>
      </c>
      <c r="BK22">
        <v>-1</v>
      </c>
      <c r="BM22" s="75">
        <v>1</v>
      </c>
      <c r="BO22">
        <v>1</v>
      </c>
      <c r="BP22">
        <v>40.439058171745145</v>
      </c>
      <c r="BZ22" s="10">
        <v>1.5</v>
      </c>
      <c r="CA22" s="10">
        <v>-1</v>
      </c>
      <c r="CC22">
        <v>3</v>
      </c>
      <c r="CE22">
        <f t="shared" si="11"/>
        <v>20</v>
      </c>
      <c r="CF22" s="75">
        <v>1</v>
      </c>
      <c r="CM22" s="61">
        <f t="array" ref="CM22">SUM(ABS(TRANSPOSE($BZ21:$CA21)-CI$3:CI$4)^$CI$8)</f>
        <v>1.5207100591715978</v>
      </c>
      <c r="CN22">
        <f t="array" ref="CN22">SUM(ABS(TRANSPOSE($BZ21:$CA21)-CJ$3:CJ$4)^$CI$8)</f>
        <v>16.281635802469136</v>
      </c>
      <c r="CO22" s="62">
        <f t="array" ref="CO22">SUM(ABS(TRANSPOSE($BZ21:$CA21)-CK$3:CK$4)^$CI$8)</f>
        <v>32.611570247933876</v>
      </c>
      <c r="CP22" s="75">
        <f t="shared" si="10"/>
        <v>1.5207100591715978</v>
      </c>
      <c r="CS22">
        <v>1</v>
      </c>
      <c r="CT22">
        <v>40.439058171745145</v>
      </c>
      <c r="CV22" s="61">
        <v>11.399584487534625</v>
      </c>
      <c r="CW22" t="str">
        <v/>
      </c>
      <c r="CX22" s="62">
        <v>7.9600591715976332</v>
      </c>
      <c r="CZ22" t="s">
        <v>262</v>
      </c>
      <c r="ES22" s="75">
        <v>3</v>
      </c>
      <c r="ET22" s="49" t="s">
        <v>173</v>
      </c>
      <c r="EV22" s="35" t="s">
        <v>141</v>
      </c>
      <c r="EW22">
        <v>5</v>
      </c>
      <c r="EZ22">
        <v>5</v>
      </c>
      <c r="FC22" s="35" t="s">
        <v>141</v>
      </c>
      <c r="FD22">
        <v>5</v>
      </c>
      <c r="FE22">
        <v>0</v>
      </c>
      <c r="FF22">
        <v>0</v>
      </c>
      <c r="FG22">
        <v>5</v>
      </c>
      <c r="FI22" t="str">
        <f t="shared" si="18"/>
        <v>P2DOB</v>
      </c>
      <c r="FJ22" s="61">
        <v>1.4181818181818182</v>
      </c>
      <c r="FK22">
        <v>0.98181818181818181</v>
      </c>
      <c r="FL22" s="62">
        <v>0.6</v>
      </c>
      <c r="FM22">
        <f t="shared" si="19"/>
        <v>3</v>
      </c>
      <c r="FV22" s="35" t="s">
        <v>141</v>
      </c>
      <c r="FW22">
        <v>5</v>
      </c>
      <c r="FZ22">
        <v>5</v>
      </c>
      <c r="GB22" t="str">
        <f t="shared" si="27"/>
        <v>P2DDB</v>
      </c>
      <c r="GC22" s="61">
        <f t="shared" si="28"/>
        <v>0</v>
      </c>
      <c r="GD22">
        <f t="shared" si="29"/>
        <v>0</v>
      </c>
      <c r="GE22" s="62">
        <f t="shared" si="30"/>
        <v>4.3478260869565216E-2</v>
      </c>
      <c r="GF22">
        <f t="shared" si="31"/>
        <v>4.3478260869565216E-2</v>
      </c>
      <c r="GM22" t="str">
        <f t="shared" si="32"/>
        <v>P2DDB</v>
      </c>
      <c r="GN22">
        <f t="shared" si="33"/>
        <v>1.0000000000000004</v>
      </c>
      <c r="GO22">
        <f t="shared" si="34"/>
        <v>4.3478260869565216E-2</v>
      </c>
      <c r="GP22">
        <f t="shared" si="35"/>
        <v>3.1818181818181817</v>
      </c>
      <c r="GQ22">
        <f t="shared" si="36"/>
        <v>8.0425833889238615E-2</v>
      </c>
      <c r="GR22">
        <v>1.4596310125049936</v>
      </c>
      <c r="GS22">
        <v>-1.0253270157134409</v>
      </c>
      <c r="GT22">
        <f t="shared" si="37"/>
        <v>0.66959284626656801</v>
      </c>
      <c r="GU22">
        <f t="shared" si="38"/>
        <v>0.33040715373343255</v>
      </c>
      <c r="GV22">
        <f t="shared" si="39"/>
        <v>0.10064195494817033</v>
      </c>
      <c r="GW22">
        <f t="shared" si="40"/>
        <v>5.7157954380717239E-2</v>
      </c>
      <c r="GY22" t="str">
        <f t="shared" si="23"/>
        <v>P2DN</v>
      </c>
      <c r="GZ22" s="61">
        <f t="shared" si="24"/>
        <v>0.18166840863353495</v>
      </c>
      <c r="HA22" s="62">
        <f t="shared" si="25"/>
        <v>1.2339173979080276</v>
      </c>
      <c r="HD22" s="35" t="s">
        <v>195</v>
      </c>
      <c r="HG22">
        <v>1</v>
      </c>
      <c r="HH22">
        <v>1</v>
      </c>
      <c r="HS22" s="35" t="s">
        <v>167</v>
      </c>
      <c r="HW22">
        <v>2</v>
      </c>
      <c r="HX22">
        <v>2</v>
      </c>
      <c r="ID22" s="35" t="s">
        <v>167</v>
      </c>
      <c r="IH22">
        <v>2</v>
      </c>
      <c r="II22">
        <v>2</v>
      </c>
      <c r="IN22" s="80" t="s">
        <v>162</v>
      </c>
      <c r="IR22">
        <v>5</v>
      </c>
      <c r="IS22">
        <v>5</v>
      </c>
    </row>
    <row r="23" spans="12:253" x14ac:dyDescent="0.25">
      <c r="AE23" s="10">
        <v>-1</v>
      </c>
      <c r="AF23" s="10">
        <v>-1.5</v>
      </c>
      <c r="AG23" s="10">
        <v>7</v>
      </c>
      <c r="AI23">
        <v>2</v>
      </c>
      <c r="AL23">
        <f t="shared" si="7"/>
        <v>22</v>
      </c>
      <c r="AM23" s="75">
        <v>3</v>
      </c>
      <c r="AT23" s="61">
        <f t="array" ref="AT23">SUM(ABS(TRANSPOSE($AE23:$AG23)-AP$2:AP$4)^$AP$8)</f>
        <v>93.175900277008296</v>
      </c>
      <c r="AU23">
        <f t="array" ref="AU23">SUM(ABS(TRANSPOSE($AE23:$AG23)-AQ$2:AQ$4)^$AP$8)</f>
        <v>292.34250000000003</v>
      </c>
      <c r="AV23" s="62">
        <f t="array" ref="AV23">SUM(ABS(TRANSPOSE($AE23:$AG23)-AR$2:AR$4)^$AP$8)</f>
        <v>32.363905325443788</v>
      </c>
      <c r="AW23" s="75">
        <f t="shared" si="2"/>
        <v>32.363905325443788</v>
      </c>
      <c r="AY23">
        <v>93.175900277008296</v>
      </c>
      <c r="AZ23">
        <v>292.34250000000003</v>
      </c>
      <c r="BA23">
        <v>32.363905325443788</v>
      </c>
      <c r="BB23">
        <v>32.363905325443788</v>
      </c>
      <c r="BH23">
        <v>22</v>
      </c>
      <c r="BI23">
        <v>-1</v>
      </c>
      <c r="BJ23">
        <v>-1.5</v>
      </c>
      <c r="BK23">
        <v>7</v>
      </c>
      <c r="BM23" s="75">
        <v>3</v>
      </c>
      <c r="BO23">
        <v>3</v>
      </c>
      <c r="BP23">
        <v>32.363905325443788</v>
      </c>
      <c r="BZ23" s="10">
        <v>-1.5</v>
      </c>
      <c r="CA23" s="10">
        <v>7</v>
      </c>
      <c r="CC23">
        <v>2</v>
      </c>
      <c r="CE23">
        <f t="shared" si="11"/>
        <v>21</v>
      </c>
      <c r="CF23" s="75">
        <v>3</v>
      </c>
      <c r="CM23" s="61">
        <f t="array" ref="CM23">SUM(ABS(TRANSPOSE($BZ22:$CA22)-CI$3:CI$4)^$CI$8)</f>
        <v>39.001479289940832</v>
      </c>
      <c r="CN23">
        <f t="array" ref="CN23">SUM(ABS(TRANSPOSE($BZ22:$CA22)-CJ$3:CJ$4)^$CI$8)</f>
        <v>36.670524691358025</v>
      </c>
      <c r="CO23" s="62">
        <f t="array" ref="CO23">SUM(ABS(TRANSPOSE($BZ22:$CA22)-CK$3:CK$4)^$CI$8)</f>
        <v>11.134297520661159</v>
      </c>
      <c r="CP23" s="75">
        <f t="shared" si="10"/>
        <v>11.134297520661159</v>
      </c>
      <c r="CS23">
        <v>3</v>
      </c>
      <c r="CT23">
        <v>32.363905325443788</v>
      </c>
      <c r="CV23" s="61">
        <v>44.544321329639899</v>
      </c>
      <c r="CW23" t="str">
        <v/>
      </c>
      <c r="CX23" s="62">
        <v>4.4985207100591724</v>
      </c>
      <c r="ES23" s="75">
        <v>2</v>
      </c>
      <c r="ET23" s="49" t="s">
        <v>175</v>
      </c>
      <c r="EV23" s="35" t="s">
        <v>153</v>
      </c>
      <c r="EX23">
        <v>1</v>
      </c>
      <c r="EZ23">
        <v>1</v>
      </c>
      <c r="FC23" s="35" t="s">
        <v>153</v>
      </c>
      <c r="FD23">
        <v>0</v>
      </c>
      <c r="FE23">
        <v>1</v>
      </c>
      <c r="FF23">
        <v>0</v>
      </c>
      <c r="FG23">
        <v>1</v>
      </c>
      <c r="FI23" t="str">
        <f t="shared" si="18"/>
        <v>R1NDB</v>
      </c>
      <c r="FJ23" s="61">
        <v>0.47272727272727272</v>
      </c>
      <c r="FK23">
        <v>0.32727272727272727</v>
      </c>
      <c r="FL23" s="62">
        <v>0.2</v>
      </c>
      <c r="FM23">
        <f t="shared" si="19"/>
        <v>1</v>
      </c>
      <c r="FV23" s="35" t="s">
        <v>153</v>
      </c>
      <c r="FX23">
        <v>1</v>
      </c>
      <c r="FZ23">
        <v>1</v>
      </c>
      <c r="GB23" t="str">
        <f t="shared" si="27"/>
        <v>P2DN</v>
      </c>
      <c r="GC23" s="61">
        <f t="shared" si="28"/>
        <v>0</v>
      </c>
      <c r="GD23">
        <f t="shared" si="29"/>
        <v>0.10869565217391304</v>
      </c>
      <c r="GE23" s="62">
        <f t="shared" si="30"/>
        <v>0</v>
      </c>
      <c r="GF23">
        <f t="shared" si="31"/>
        <v>0.10869565217391304</v>
      </c>
      <c r="GM23" t="str">
        <f t="shared" si="32"/>
        <v>P2DN</v>
      </c>
      <c r="GN23">
        <f t="shared" si="33"/>
        <v>1.000000000000002</v>
      </c>
      <c r="GO23">
        <f t="shared" si="34"/>
        <v>0.10869565217391304</v>
      </c>
      <c r="GP23">
        <f t="shared" si="35"/>
        <v>1.5555555555555556</v>
      </c>
      <c r="GQ23">
        <f t="shared" si="36"/>
        <v>9.8298241420180552E-2</v>
      </c>
      <c r="GR23">
        <v>0.18166840863353495</v>
      </c>
      <c r="GS23">
        <v>1.2339173979080276</v>
      </c>
      <c r="GT23">
        <f t="shared" si="37"/>
        <v>2.1216478304212093E-2</v>
      </c>
      <c r="GU23">
        <f t="shared" si="38"/>
        <v>0.97878352169578986</v>
      </c>
      <c r="GV23">
        <f t="shared" si="39"/>
        <v>3.8975503332818778E-3</v>
      </c>
      <c r="GW23">
        <f t="shared" si="40"/>
        <v>0.20694934710599067</v>
      </c>
      <c r="GY23" t="str">
        <f t="shared" si="23"/>
        <v>P2DOB</v>
      </c>
      <c r="GZ23" s="61">
        <f t="shared" si="24"/>
        <v>-0.69732513802248608</v>
      </c>
      <c r="HA23" s="62">
        <f t="shared" si="25"/>
        <v>-1.7396788520721882E-2</v>
      </c>
      <c r="HD23" s="35" t="s">
        <v>193</v>
      </c>
      <c r="HG23">
        <v>1</v>
      </c>
      <c r="HH23">
        <v>1</v>
      </c>
      <c r="HS23" s="35" t="s">
        <v>195</v>
      </c>
      <c r="HW23">
        <v>1</v>
      </c>
      <c r="HX23">
        <v>1</v>
      </c>
      <c r="ID23" s="35" t="s">
        <v>195</v>
      </c>
      <c r="IH23">
        <v>1</v>
      </c>
      <c r="II23">
        <v>1</v>
      </c>
      <c r="IN23" s="80" t="s">
        <v>153</v>
      </c>
      <c r="IR23">
        <v>1</v>
      </c>
      <c r="IS23">
        <v>1</v>
      </c>
    </row>
    <row r="24" spans="12:253" x14ac:dyDescent="0.25">
      <c r="L24" s="67"/>
      <c r="M24" s="67"/>
      <c r="N24" s="67"/>
      <c r="R24" s="67"/>
      <c r="S24" s="67"/>
      <c r="T24" s="67"/>
      <c r="V24" s="69"/>
      <c r="W24" s="69"/>
      <c r="X24" s="69"/>
      <c r="Y24" s="69"/>
      <c r="Z24" s="69"/>
      <c r="AA24" s="69"/>
      <c r="AB24" s="69"/>
      <c r="AC24" s="69"/>
      <c r="AD24" s="69"/>
      <c r="AE24" s="10">
        <v>-3</v>
      </c>
      <c r="AF24" s="10">
        <v>-1.5</v>
      </c>
      <c r="AG24" s="10">
        <v>4</v>
      </c>
      <c r="AI24">
        <v>2</v>
      </c>
      <c r="AL24">
        <f t="shared" si="7"/>
        <v>23</v>
      </c>
      <c r="AM24" s="75">
        <v>3</v>
      </c>
      <c r="AT24" s="61">
        <f t="array" ref="AT24">SUM(ABS(TRANSPOSE($AE24:$AG24)-AP$2:AP$4)^$AP$8)</f>
        <v>116.17590027700831</v>
      </c>
      <c r="AU24">
        <f t="array" ref="AU24">SUM(ABS(TRANSPOSE($AE24:$AG24)-AQ$2:AQ$4)^$AP$8)</f>
        <v>215.54250000000005</v>
      </c>
      <c r="AV24" s="62">
        <f t="array" ref="AV24">SUM(ABS(TRANSPOSE($AE24:$AG24)-AR$2:AR$4)^$AP$8)</f>
        <v>14.517751479289942</v>
      </c>
      <c r="AW24" s="75">
        <f t="shared" si="2"/>
        <v>14.517751479289942</v>
      </c>
      <c r="AY24">
        <v>116.17590027700831</v>
      </c>
      <c r="AZ24">
        <v>215.54250000000005</v>
      </c>
      <c r="BA24">
        <v>14.517751479289942</v>
      </c>
      <c r="BB24">
        <v>14.517751479289942</v>
      </c>
      <c r="BH24">
        <v>23</v>
      </c>
      <c r="BI24">
        <v>-3</v>
      </c>
      <c r="BJ24">
        <v>-1.5</v>
      </c>
      <c r="BK24">
        <v>4</v>
      </c>
      <c r="BM24" s="75">
        <v>3</v>
      </c>
      <c r="BO24">
        <v>3</v>
      </c>
      <c r="BP24">
        <v>14.517751479289942</v>
      </c>
      <c r="BZ24" s="10">
        <v>-1.5</v>
      </c>
      <c r="CA24" s="10">
        <v>4</v>
      </c>
      <c r="CC24">
        <v>2</v>
      </c>
      <c r="CE24">
        <f t="shared" si="11"/>
        <v>22</v>
      </c>
      <c r="CF24" s="75">
        <v>2</v>
      </c>
      <c r="CM24" s="61">
        <f t="array" ref="CM24">SUM(ABS(TRANSPOSE($BZ23:$CA23)-CI$3:CI$4)^$CI$8)</f>
        <v>75.155325443786978</v>
      </c>
      <c r="CN24">
        <f t="array" ref="CN24">SUM(ABS(TRANSPOSE($BZ23:$CA23)-CJ$3:CJ$4)^$CI$8)</f>
        <v>12.948302469135804</v>
      </c>
      <c r="CO24" s="62">
        <f t="array" ref="CO24">SUM(ABS(TRANSPOSE($BZ23:$CA23)-CK$3:CK$4)^$CI$8)</f>
        <v>29.6797520661157</v>
      </c>
      <c r="CP24" s="75">
        <f t="shared" si="10"/>
        <v>12.948302469135804</v>
      </c>
      <c r="CS24">
        <v>3</v>
      </c>
      <c r="CT24">
        <v>14.517751479289942</v>
      </c>
      <c r="CV24" s="61" t="str">
        <v/>
      </c>
      <c r="CW24" t="str">
        <v/>
      </c>
      <c r="CX24" s="62">
        <v>18.825443786982248</v>
      </c>
      <c r="CZ24">
        <f t="array" ref="CZ24:DB50">[1]!StdAnova1(CS2:CT56)</f>
        <v>1</v>
      </c>
      <c r="DA24">
        <v>2</v>
      </c>
      <c r="DB24">
        <v>3</v>
      </c>
      <c r="DD24" t="s">
        <v>263</v>
      </c>
      <c r="DN24" t="s">
        <v>298</v>
      </c>
      <c r="DT24" t="s">
        <v>305</v>
      </c>
      <c r="DW24" t="s">
        <v>321</v>
      </c>
      <c r="DZ24" t="s">
        <v>306</v>
      </c>
      <c r="ES24" s="75">
        <v>3</v>
      </c>
      <c r="ET24" s="49" t="s">
        <v>177</v>
      </c>
      <c r="EV24" s="35" t="s">
        <v>157</v>
      </c>
      <c r="EX24">
        <v>4</v>
      </c>
      <c r="EZ24">
        <v>4</v>
      </c>
      <c r="FC24" s="35" t="s">
        <v>157</v>
      </c>
      <c r="FD24">
        <v>0</v>
      </c>
      <c r="FE24">
        <v>4</v>
      </c>
      <c r="FF24">
        <v>0</v>
      </c>
      <c r="FG24">
        <v>4</v>
      </c>
      <c r="FI24" t="str">
        <f t="shared" si="18"/>
        <v>R1NN</v>
      </c>
      <c r="FJ24" s="61">
        <v>0.47272727272727272</v>
      </c>
      <c r="FK24">
        <v>0.32727272727272727</v>
      </c>
      <c r="FL24" s="62">
        <v>0.2</v>
      </c>
      <c r="FM24">
        <f t="shared" si="19"/>
        <v>1</v>
      </c>
      <c r="FV24" s="35" t="s">
        <v>157</v>
      </c>
      <c r="FX24">
        <v>4</v>
      </c>
      <c r="FZ24">
        <v>4</v>
      </c>
      <c r="GB24" t="str">
        <f t="shared" si="27"/>
        <v>P2DOB</v>
      </c>
      <c r="GC24" s="61">
        <f t="shared" si="28"/>
        <v>4.3478260869565216E-2</v>
      </c>
      <c r="GD24">
        <f t="shared" si="29"/>
        <v>2.1739130434782608E-2</v>
      </c>
      <c r="GE24" s="62">
        <f t="shared" si="30"/>
        <v>0</v>
      </c>
      <c r="GF24">
        <f t="shared" si="31"/>
        <v>6.5217391304347824E-2</v>
      </c>
      <c r="GM24" t="str">
        <f t="shared" si="32"/>
        <v>P2DOB</v>
      </c>
      <c r="GN24">
        <f t="shared" si="33"/>
        <v>0.99999999999999201</v>
      </c>
      <c r="GO24">
        <f t="shared" si="34"/>
        <v>6.5217391304347824E-2</v>
      </c>
      <c r="GP24">
        <f t="shared" si="35"/>
        <v>0.48656499636891792</v>
      </c>
      <c r="GQ24">
        <f t="shared" si="36"/>
        <v>1.8448129342162736E-2</v>
      </c>
      <c r="GR24">
        <v>-0.69732513802248608</v>
      </c>
      <c r="GS24">
        <v>-1.7396788520721882E-2</v>
      </c>
      <c r="GT24">
        <f t="shared" si="37"/>
        <v>0.99937799008745554</v>
      </c>
      <c r="GU24">
        <f t="shared" si="38"/>
        <v>6.2200991253643333E-4</v>
      </c>
      <c r="GV24">
        <f t="shared" si="39"/>
        <v>3.4455202120643527E-2</v>
      </c>
      <c r="GW24">
        <f t="shared" si="40"/>
        <v>2.4682054322193284E-5</v>
      </c>
      <c r="GY24" t="str">
        <f t="shared" si="23"/>
        <v>R1NDB</v>
      </c>
      <c r="GZ24" s="61">
        <f t="shared" si="24"/>
        <v>1.4596310125049941</v>
      </c>
      <c r="HA24" s="62">
        <f t="shared" si="25"/>
        <v>-1.0253270157134415</v>
      </c>
      <c r="HD24" s="56" t="s">
        <v>206</v>
      </c>
      <c r="HE24" s="57">
        <v>26</v>
      </c>
      <c r="HF24" s="57">
        <v>18</v>
      </c>
      <c r="HG24" s="57">
        <v>11</v>
      </c>
      <c r="HH24" s="57">
        <v>55</v>
      </c>
      <c r="HS24" s="35" t="s">
        <v>193</v>
      </c>
      <c r="HW24">
        <v>1</v>
      </c>
      <c r="HX24">
        <v>1</v>
      </c>
      <c r="ID24" s="35" t="s">
        <v>193</v>
      </c>
      <c r="IH24">
        <v>1</v>
      </c>
      <c r="II24">
        <v>1</v>
      </c>
      <c r="IN24" s="80" t="s">
        <v>157</v>
      </c>
      <c r="IR24">
        <v>4</v>
      </c>
      <c r="IS24">
        <v>4</v>
      </c>
    </row>
    <row r="25" spans="12:253" x14ac:dyDescent="0.25">
      <c r="AE25" s="10">
        <v>-25</v>
      </c>
      <c r="AF25" s="10">
        <v>-0.5</v>
      </c>
      <c r="AG25" s="10">
        <v>2</v>
      </c>
      <c r="AI25">
        <v>1</v>
      </c>
      <c r="AL25">
        <f t="shared" si="7"/>
        <v>24</v>
      </c>
      <c r="AM25" s="75">
        <v>2</v>
      </c>
      <c r="AT25" s="61">
        <f t="array" ref="AT25">SUM(ABS(TRANSPOSE($AE25:$AG25)-AP$2:AP$4)^$AP$8)</f>
        <v>999.86011080332401</v>
      </c>
      <c r="AU25">
        <f t="array" ref="AU25">SUM(ABS(TRANSPOSE($AE25:$AG25)-AQ$2:AQ$4)^$AP$8)</f>
        <v>107.84249999999999</v>
      </c>
      <c r="AV25" s="62">
        <f t="array" ref="AV25">SUM(ABS(TRANSPOSE($AE25:$AG25)-AR$2:AR$4)^$AP$8)</f>
        <v>464.21005917159755</v>
      </c>
      <c r="AW25" s="75">
        <f t="shared" si="2"/>
        <v>107.84249999999999</v>
      </c>
      <c r="AY25">
        <v>999.86011080332401</v>
      </c>
      <c r="AZ25">
        <v>107.84249999999999</v>
      </c>
      <c r="BA25">
        <v>464.21005917159755</v>
      </c>
      <c r="BB25">
        <v>107.84249999999999</v>
      </c>
      <c r="BH25">
        <v>24</v>
      </c>
      <c r="BI25">
        <v>-25</v>
      </c>
      <c r="BJ25">
        <v>-0.5</v>
      </c>
      <c r="BK25">
        <v>2</v>
      </c>
      <c r="BM25" s="75">
        <v>2</v>
      </c>
      <c r="BO25">
        <v>2</v>
      </c>
      <c r="BP25">
        <v>107.84249999999999</v>
      </c>
      <c r="BZ25" s="10">
        <v>-0.5</v>
      </c>
      <c r="CA25" s="10">
        <v>2</v>
      </c>
      <c r="CC25">
        <v>1</v>
      </c>
      <c r="CE25">
        <f t="shared" si="11"/>
        <v>23</v>
      </c>
      <c r="CF25" s="75">
        <v>3</v>
      </c>
      <c r="CM25" s="61">
        <f t="array" ref="CM25">SUM(ABS(TRANSPOSE($BZ24:$CA24)-CI$3:CI$4)^$CI$8)</f>
        <v>60.616863905325445</v>
      </c>
      <c r="CN25">
        <f t="array" ref="CN25">SUM(ABS(TRANSPOSE($BZ24:$CA24)-CJ$3:CJ$4)^$CI$8)</f>
        <v>10.281635802469136</v>
      </c>
      <c r="CO25" s="62">
        <f t="array" ref="CO25">SUM(ABS(TRANSPOSE($BZ24:$CA24)-CK$3:CK$4)^$CI$8)</f>
        <v>6.4979338842975194</v>
      </c>
      <c r="CP25" s="75">
        <f t="shared" si="10"/>
        <v>6.4979338842975194</v>
      </c>
      <c r="CS25">
        <v>2</v>
      </c>
      <c r="CT25">
        <v>107.84249999999999</v>
      </c>
      <c r="CV25" s="61" t="str">
        <v/>
      </c>
      <c r="CW25" t="str">
        <v/>
      </c>
      <c r="CX25" s="62">
        <v>23.344674556213018</v>
      </c>
      <c r="CZ25" s="58">
        <v>34.596952908587262</v>
      </c>
      <c r="DA25" s="59">
        <v>68.142500000000013</v>
      </c>
      <c r="DB25" s="60">
        <v>8.8254437869822482</v>
      </c>
      <c r="ES25" s="75">
        <v>3</v>
      </c>
      <c r="ET25" s="49" t="s">
        <v>179</v>
      </c>
      <c r="EV25" s="35" t="s">
        <v>150</v>
      </c>
      <c r="EW25">
        <v>1</v>
      </c>
      <c r="EZ25">
        <v>1</v>
      </c>
      <c r="FC25" s="35" t="s">
        <v>150</v>
      </c>
      <c r="FD25">
        <v>1</v>
      </c>
      <c r="FE25">
        <v>0</v>
      </c>
      <c r="FF25">
        <v>0</v>
      </c>
      <c r="FG25">
        <v>1</v>
      </c>
      <c r="FI25" t="str">
        <f t="shared" si="18"/>
        <v>R1NOB</v>
      </c>
      <c r="FJ25" s="61">
        <v>2.3636363636363638</v>
      </c>
      <c r="FK25">
        <v>1.6363636363636365</v>
      </c>
      <c r="FL25" s="62">
        <v>1</v>
      </c>
      <c r="FM25">
        <f t="shared" si="19"/>
        <v>5</v>
      </c>
      <c r="FV25" s="35" t="s">
        <v>150</v>
      </c>
      <c r="FW25">
        <v>1</v>
      </c>
      <c r="FZ25">
        <v>1</v>
      </c>
      <c r="GB25" t="str">
        <f t="shared" si="27"/>
        <v>R1NDB</v>
      </c>
      <c r="GC25" s="61">
        <f t="shared" si="28"/>
        <v>0</v>
      </c>
      <c r="GD25">
        <f t="shared" si="29"/>
        <v>0</v>
      </c>
      <c r="GE25" s="62">
        <f t="shared" si="30"/>
        <v>2.1739130434782608E-2</v>
      </c>
      <c r="GF25">
        <f t="shared" si="31"/>
        <v>2.1739130434782608E-2</v>
      </c>
      <c r="GM25" t="str">
        <f t="shared" si="32"/>
        <v>R1NDB</v>
      </c>
      <c r="GN25">
        <f t="shared" si="33"/>
        <v>1.0000000000000013</v>
      </c>
      <c r="GO25">
        <f t="shared" si="34"/>
        <v>2.1739130434782608E-2</v>
      </c>
      <c r="GP25">
        <f t="shared" si="35"/>
        <v>3.1818181818181817</v>
      </c>
      <c r="GQ25">
        <f t="shared" si="36"/>
        <v>4.0212916944619308E-2</v>
      </c>
      <c r="GR25">
        <v>1.4596310125049941</v>
      </c>
      <c r="GS25">
        <v>-1.0253270157134415</v>
      </c>
      <c r="GT25">
        <f t="shared" si="37"/>
        <v>0.66959284626656845</v>
      </c>
      <c r="GU25">
        <f t="shared" si="38"/>
        <v>0.33040715373343293</v>
      </c>
      <c r="GV25">
        <f t="shared" si="39"/>
        <v>5.0320977474085191E-2</v>
      </c>
      <c r="GW25">
        <f t="shared" si="40"/>
        <v>2.8578977190358658E-2</v>
      </c>
      <c r="GY25" t="str">
        <f t="shared" si="23"/>
        <v>R1NN</v>
      </c>
      <c r="GZ25" s="61">
        <f t="shared" si="24"/>
        <v>1.4596310125049941</v>
      </c>
      <c r="HA25" s="62">
        <f t="shared" si="25"/>
        <v>-1.0253270157134415</v>
      </c>
      <c r="HS25" s="56" t="s">
        <v>206</v>
      </c>
      <c r="HT25" s="57">
        <v>26</v>
      </c>
      <c r="HU25" s="57"/>
      <c r="HV25" s="57">
        <v>18</v>
      </c>
      <c r="HW25" s="57">
        <v>11</v>
      </c>
      <c r="HX25" s="57">
        <v>55</v>
      </c>
      <c r="ID25" s="56" t="s">
        <v>206</v>
      </c>
      <c r="IE25" s="57">
        <v>18</v>
      </c>
      <c r="IF25" s="57"/>
      <c r="IG25" s="57">
        <v>26</v>
      </c>
      <c r="IH25" s="57">
        <v>11</v>
      </c>
      <c r="II25" s="57">
        <v>55</v>
      </c>
      <c r="IN25" s="56" t="s">
        <v>206</v>
      </c>
      <c r="IO25" s="57">
        <v>11</v>
      </c>
      <c r="IP25" s="57"/>
      <c r="IQ25" s="57">
        <v>26</v>
      </c>
      <c r="IR25" s="57">
        <v>18</v>
      </c>
      <c r="IS25" s="57">
        <v>55</v>
      </c>
    </row>
    <row r="26" spans="12:253" ht="15.75" thickBot="1" x14ac:dyDescent="0.3">
      <c r="AE26" s="10">
        <v>7.5</v>
      </c>
      <c r="AF26" s="10">
        <v>10</v>
      </c>
      <c r="AG26" s="10">
        <v>3</v>
      </c>
      <c r="AI26">
        <v>3</v>
      </c>
      <c r="AL26">
        <f t="shared" si="7"/>
        <v>25</v>
      </c>
      <c r="AM26" s="75">
        <v>1</v>
      </c>
      <c r="AT26" s="61">
        <f t="array" ref="AT26">SUM(ABS(TRANSPOSE($AE26:$AG26)-AP$2:AP$4)^$AP$8)</f>
        <v>37.67590027700831</v>
      </c>
      <c r="AU26">
        <f t="array" ref="AU26">SUM(ABS(TRANSPOSE($AE26:$AG26)-AQ$2:AQ$4)^$AP$8)</f>
        <v>584.29250000000002</v>
      </c>
      <c r="AV26" s="62">
        <f t="array" ref="AV26">SUM(ABS(TRANSPOSE($AE26:$AG26)-AR$2:AR$4)^$AP$8)</f>
        <v>186.0562130177515</v>
      </c>
      <c r="AW26" s="75">
        <f t="shared" si="2"/>
        <v>37.67590027700831</v>
      </c>
      <c r="AY26">
        <v>37.67590027700831</v>
      </c>
      <c r="AZ26">
        <v>584.29250000000002</v>
      </c>
      <c r="BA26">
        <v>186.0562130177515</v>
      </c>
      <c r="BB26">
        <v>37.67590027700831</v>
      </c>
      <c r="BH26">
        <v>25</v>
      </c>
      <c r="BI26">
        <v>7.5</v>
      </c>
      <c r="BJ26">
        <v>10</v>
      </c>
      <c r="BK26">
        <v>3</v>
      </c>
      <c r="BM26" s="75">
        <v>1</v>
      </c>
      <c r="BO26">
        <v>1</v>
      </c>
      <c r="BP26">
        <v>37.67590027700831</v>
      </c>
      <c r="BZ26" s="10">
        <v>10</v>
      </c>
      <c r="CA26" s="10">
        <v>3</v>
      </c>
      <c r="CC26">
        <v>3</v>
      </c>
      <c r="CE26">
        <f t="shared" si="11"/>
        <v>24</v>
      </c>
      <c r="CF26" s="75">
        <v>3</v>
      </c>
      <c r="CM26" s="61">
        <f t="array" ref="CM26">SUM(ABS(TRANSPOSE($BZ25:$CA25)-CI$3:CI$4)^$CI$8)</f>
        <v>46.463017751479292</v>
      </c>
      <c r="CN26">
        <f t="array" ref="CN26">SUM(ABS(TRANSPOSE($BZ25:$CA25)-CJ$3:CJ$4)^$CI$8)</f>
        <v>13.4483024691358</v>
      </c>
      <c r="CO26" s="62">
        <f t="array" ref="CO26">SUM(ABS(TRANSPOSE($BZ25:$CA25)-CK$3:CK$4)^$CI$8)</f>
        <v>0.13429752066115694</v>
      </c>
      <c r="CP26" s="75">
        <f t="shared" si="10"/>
        <v>0.13429752066115694</v>
      </c>
      <c r="CS26">
        <v>1</v>
      </c>
      <c r="CT26">
        <v>37.67590027700831</v>
      </c>
      <c r="CV26" s="61" t="str">
        <v/>
      </c>
      <c r="CW26" t="str">
        <v/>
      </c>
      <c r="CX26" s="62">
        <v>42.056213017751482</v>
      </c>
      <c r="CZ26" s="61">
        <v>28.439058171745156</v>
      </c>
      <c r="DA26">
        <v>15.342500000000008</v>
      </c>
      <c r="DB26" s="62">
        <v>14.806213017751478</v>
      </c>
      <c r="DD26" t="s">
        <v>264</v>
      </c>
      <c r="DI26" t="s">
        <v>214</v>
      </c>
      <c r="DJ26">
        <v>0.05</v>
      </c>
      <c r="DO26">
        <f>CZ24</f>
        <v>1</v>
      </c>
      <c r="DP26">
        <f t="shared" ref="DP26:DQ26" si="51">DA24</f>
        <v>2</v>
      </c>
      <c r="DQ26">
        <f t="shared" si="51"/>
        <v>3</v>
      </c>
      <c r="DT26" t="s">
        <v>214</v>
      </c>
      <c r="DU26" s="71">
        <v>0.05</v>
      </c>
      <c r="DW26" t="s">
        <v>214</v>
      </c>
      <c r="DX26" s="71">
        <v>0.05</v>
      </c>
      <c r="DZ26" t="s">
        <v>307</v>
      </c>
      <c r="EA26" s="72" t="s">
        <v>222</v>
      </c>
      <c r="ES26" s="75">
        <v>1</v>
      </c>
      <c r="ET26" s="49" t="s">
        <v>155</v>
      </c>
      <c r="EV26" s="35" t="s">
        <v>206</v>
      </c>
      <c r="EW26">
        <v>26</v>
      </c>
      <c r="EX26">
        <v>18</v>
      </c>
      <c r="EY26">
        <v>11</v>
      </c>
      <c r="EZ26">
        <v>55</v>
      </c>
      <c r="FC26" s="56" t="s">
        <v>206</v>
      </c>
      <c r="FD26" s="57">
        <v>26</v>
      </c>
      <c r="FE26" s="57">
        <v>18</v>
      </c>
      <c r="FF26" s="57">
        <v>11</v>
      </c>
      <c r="FG26" s="57">
        <v>55</v>
      </c>
      <c r="FI26" t="str">
        <f t="shared" si="18"/>
        <v>R2DDB</v>
      </c>
      <c r="FJ26" s="61">
        <v>0.47272727272727272</v>
      </c>
      <c r="FK26">
        <v>0.32727272727272727</v>
      </c>
      <c r="FL26" s="62">
        <v>0.2</v>
      </c>
      <c r="FM26">
        <f t="shared" si="19"/>
        <v>1</v>
      </c>
      <c r="FV26" s="56" t="s">
        <v>206</v>
      </c>
      <c r="FW26" s="57">
        <v>26</v>
      </c>
      <c r="FX26" s="57">
        <v>18</v>
      </c>
      <c r="FY26" s="57">
        <v>11</v>
      </c>
      <c r="FZ26" s="57">
        <v>55</v>
      </c>
      <c r="GB26" t="str">
        <f t="shared" si="27"/>
        <v>R1NN</v>
      </c>
      <c r="GC26" s="61">
        <f t="shared" si="28"/>
        <v>0</v>
      </c>
      <c r="GD26">
        <f t="shared" si="29"/>
        <v>0</v>
      </c>
      <c r="GE26" s="62">
        <f t="shared" si="30"/>
        <v>2.1739130434782608E-2</v>
      </c>
      <c r="GF26">
        <f t="shared" si="31"/>
        <v>2.1739130434782608E-2</v>
      </c>
      <c r="GM26" t="str">
        <f t="shared" si="32"/>
        <v>R1NN</v>
      </c>
      <c r="GN26">
        <f t="shared" si="33"/>
        <v>1.0000000000000013</v>
      </c>
      <c r="GO26">
        <f t="shared" si="34"/>
        <v>2.1739130434782608E-2</v>
      </c>
      <c r="GP26">
        <f t="shared" si="35"/>
        <v>3.1818181818181817</v>
      </c>
      <c r="GQ26">
        <f t="shared" si="36"/>
        <v>4.0212916944619308E-2</v>
      </c>
      <c r="GR26">
        <v>1.4596310125049941</v>
      </c>
      <c r="GS26">
        <v>-1.0253270157134415</v>
      </c>
      <c r="GT26">
        <f t="shared" si="37"/>
        <v>0.66959284626656845</v>
      </c>
      <c r="GU26">
        <f t="shared" si="38"/>
        <v>0.33040715373343293</v>
      </c>
      <c r="GV26">
        <f t="shared" si="39"/>
        <v>5.0320977474085191E-2</v>
      </c>
      <c r="GW26">
        <f t="shared" si="40"/>
        <v>2.8578977190358658E-2</v>
      </c>
      <c r="GY26" t="str">
        <f t="shared" si="23"/>
        <v>R1NOB</v>
      </c>
      <c r="GZ26" s="61">
        <f t="shared" si="24"/>
        <v>-1.1368219113504989</v>
      </c>
      <c r="HA26" s="62">
        <f t="shared" si="25"/>
        <v>-0.64305388173509659</v>
      </c>
    </row>
    <row r="27" spans="12:253" ht="15.75" thickTop="1" x14ac:dyDescent="0.25">
      <c r="AE27" s="42">
        <v>0</v>
      </c>
      <c r="AF27" s="42">
        <v>2</v>
      </c>
      <c r="AG27" s="42">
        <v>5</v>
      </c>
      <c r="AI27">
        <v>3</v>
      </c>
      <c r="AL27">
        <f t="shared" si="7"/>
        <v>26</v>
      </c>
      <c r="AM27" s="75">
        <v>3</v>
      </c>
      <c r="AT27" s="61">
        <f t="array" ref="AT27">SUM(ABS(TRANSPOSE($AE27:$AG27)-AP$2:AP$4)^$AP$8)</f>
        <v>44.452216066481981</v>
      </c>
      <c r="AU27">
        <f t="array" ref="AU27">SUM(ABS(TRANSPOSE($AE27:$AG27)-AQ$2:AQ$4)^$AP$8)</f>
        <v>275.74250000000006</v>
      </c>
      <c r="AV27" s="62">
        <f t="array" ref="AV27">SUM(ABS(TRANSPOSE($AE27:$AG27)-AR$2:AR$4)^$AP$8)</f>
        <v>15.498520710059175</v>
      </c>
      <c r="AW27" s="75">
        <f t="shared" si="2"/>
        <v>15.498520710059175</v>
      </c>
      <c r="AY27">
        <v>44.452216066481981</v>
      </c>
      <c r="AZ27">
        <v>275.74250000000006</v>
      </c>
      <c r="BA27">
        <v>15.498520710059175</v>
      </c>
      <c r="BB27">
        <v>15.498520710059175</v>
      </c>
      <c r="BH27">
        <v>26</v>
      </c>
      <c r="BI27">
        <v>0</v>
      </c>
      <c r="BJ27">
        <v>2</v>
      </c>
      <c r="BK27">
        <v>5</v>
      </c>
      <c r="BM27" s="75">
        <v>3</v>
      </c>
      <c r="BO27">
        <v>3</v>
      </c>
      <c r="BP27">
        <v>15.498520710059175</v>
      </c>
      <c r="BZ27" s="42">
        <v>2</v>
      </c>
      <c r="CA27" s="42">
        <v>5</v>
      </c>
      <c r="CC27">
        <v>3</v>
      </c>
      <c r="CE27">
        <f t="shared" si="11"/>
        <v>25</v>
      </c>
      <c r="CF27" s="75">
        <v>1</v>
      </c>
      <c r="CM27" s="61">
        <f t="array" ref="CM27">SUM(ABS(TRANSPOSE($BZ26:$CA26)-CI$3:CI$4)^$CI$8)</f>
        <v>14.21301775147929</v>
      </c>
      <c r="CN27">
        <f t="array" ref="CN27">SUM(ABS(TRANSPOSE($BZ26:$CA26)-CJ$3:CJ$4)^$CI$8)</f>
        <v>76.00385802469134</v>
      </c>
      <c r="CO27" s="62">
        <f t="array" ref="CO27">SUM(ABS(TRANSPOSE($BZ26:$CA26)-CK$3:CK$4)^$CI$8)</f>
        <v>113.06611570247934</v>
      </c>
      <c r="CP27" s="75">
        <f t="shared" si="10"/>
        <v>14.21301775147929</v>
      </c>
      <c r="CS27">
        <v>3</v>
      </c>
      <c r="CT27">
        <v>15.498520710059175</v>
      </c>
      <c r="CV27" s="61" t="str">
        <v/>
      </c>
      <c r="CW27" t="str">
        <v/>
      </c>
      <c r="CX27" s="62">
        <v>10.652366863905325</v>
      </c>
      <c r="CZ27" s="61">
        <v>4.3337950138504144</v>
      </c>
      <c r="DA27">
        <v>6.5425000000000066</v>
      </c>
      <c r="DB27" s="62">
        <v>7.8062130177514799</v>
      </c>
      <c r="DD27" s="66" t="s">
        <v>265</v>
      </c>
      <c r="DE27" s="66" t="s">
        <v>215</v>
      </c>
      <c r="DF27" s="66" t="s">
        <v>266</v>
      </c>
      <c r="DG27" s="66" t="s">
        <v>267</v>
      </c>
      <c r="DH27" s="66" t="s">
        <v>268</v>
      </c>
      <c r="DI27" s="66" t="s">
        <v>269</v>
      </c>
      <c r="DJ27" s="66" t="s">
        <v>270</v>
      </c>
      <c r="DK27" s="66" t="s">
        <v>271</v>
      </c>
      <c r="DL27" s="66" t="s">
        <v>272</v>
      </c>
      <c r="DN27" t="s">
        <v>299</v>
      </c>
      <c r="DO27" s="58">
        <f>MEDIAN(CZ25:CZ50)</f>
        <v>28.439058171745156</v>
      </c>
      <c r="DP27" s="59">
        <f t="shared" ref="DP27:DQ27" si="52">MEDIAN(DA25:DA50)</f>
        <v>21.642500000000005</v>
      </c>
      <c r="DQ27" s="60">
        <f t="shared" si="52"/>
        <v>15.498520710059175</v>
      </c>
      <c r="DZ27" t="s">
        <v>308</v>
      </c>
      <c r="EA27" s="74">
        <f>[1]!LEVENE(CZ25:DB50)</f>
        <v>2.4411001891733397E-2</v>
      </c>
      <c r="ES27" s="75">
        <v>2</v>
      </c>
      <c r="ET27" s="49" t="s">
        <v>157</v>
      </c>
      <c r="FI27" t="str">
        <f t="shared" si="18"/>
        <v>R2DN</v>
      </c>
      <c r="FJ27" s="61">
        <v>1.8909090909090909</v>
      </c>
      <c r="FK27">
        <v>1.3090909090909091</v>
      </c>
      <c r="FL27" s="62">
        <v>0.8</v>
      </c>
      <c r="FM27">
        <f t="shared" si="19"/>
        <v>4</v>
      </c>
      <c r="GB27" t="str">
        <f t="shared" si="27"/>
        <v>R1NOB</v>
      </c>
      <c r="GC27" s="61">
        <f t="shared" si="28"/>
        <v>0.10869565217391304</v>
      </c>
      <c r="GD27">
        <f t="shared" si="29"/>
        <v>0</v>
      </c>
      <c r="GE27" s="62">
        <f t="shared" si="30"/>
        <v>0</v>
      </c>
      <c r="GF27">
        <f t="shared" si="31"/>
        <v>0.10869565217391304</v>
      </c>
      <c r="GM27" t="str">
        <f t="shared" si="32"/>
        <v>R1NOB</v>
      </c>
      <c r="GN27">
        <f t="shared" si="33"/>
        <v>1.0000000000000004</v>
      </c>
      <c r="GO27">
        <f t="shared" si="34"/>
        <v>0.10869565217391304</v>
      </c>
      <c r="GP27">
        <f t="shared" si="35"/>
        <v>1.7058823529411764</v>
      </c>
      <c r="GQ27">
        <f t="shared" si="36"/>
        <v>0.10779765130532405</v>
      </c>
      <c r="GR27">
        <v>-1.1368219113504989</v>
      </c>
      <c r="GS27">
        <v>-0.64305388173509659</v>
      </c>
      <c r="GT27">
        <f t="shared" si="37"/>
        <v>0.75759272372938713</v>
      </c>
      <c r="GU27">
        <f t="shared" si="38"/>
        <v>0.24240727627061329</v>
      </c>
      <c r="GV27">
        <f t="shared" si="39"/>
        <v>0.15262222477413998</v>
      </c>
      <c r="GW27">
        <f t="shared" si="40"/>
        <v>5.6206509193891217E-2</v>
      </c>
      <c r="GY27" t="str">
        <f t="shared" si="23"/>
        <v>R2DDB</v>
      </c>
      <c r="GZ27" s="61">
        <f t="shared" si="24"/>
        <v>0.18166840863353492</v>
      </c>
      <c r="HA27" s="62">
        <f t="shared" si="25"/>
        <v>1.2339173979080276</v>
      </c>
    </row>
    <row r="28" spans="12:253" x14ac:dyDescent="0.25">
      <c r="AE28" s="42">
        <v>-9</v>
      </c>
      <c r="AF28" s="42">
        <v>3.5</v>
      </c>
      <c r="AG28" s="42">
        <v>2</v>
      </c>
      <c r="AI28">
        <v>3</v>
      </c>
      <c r="AL28">
        <f t="shared" si="7"/>
        <v>27</v>
      </c>
      <c r="AM28" s="75">
        <v>3</v>
      </c>
      <c r="AT28" s="61">
        <f t="array" ref="AT28">SUM(ABS(TRANSPOSE($AE28:$AG28)-AP$2:AP$4)^$AP$8)</f>
        <v>235.86011080332409</v>
      </c>
      <c r="AU28">
        <f t="array" ref="AU28">SUM(ABS(TRANSPOSE($AE28:$AG28)-AQ$2:AQ$4)^$AP$8)</f>
        <v>52.242500000000014</v>
      </c>
      <c r="AV28" s="62">
        <f t="array" ref="AV28">SUM(ABS(TRANSPOSE($AE28:$AG28)-AR$2:AR$4)^$AP$8)</f>
        <v>32.517751479289942</v>
      </c>
      <c r="AW28" s="75">
        <f t="shared" si="2"/>
        <v>32.517751479289942</v>
      </c>
      <c r="AY28">
        <v>235.86011080332409</v>
      </c>
      <c r="AZ28">
        <v>52.242500000000014</v>
      </c>
      <c r="BA28">
        <v>32.517751479289942</v>
      </c>
      <c r="BB28">
        <v>32.517751479289942</v>
      </c>
      <c r="BH28">
        <v>27</v>
      </c>
      <c r="BI28">
        <v>-9</v>
      </c>
      <c r="BJ28">
        <v>3.5</v>
      </c>
      <c r="BK28">
        <v>2</v>
      </c>
      <c r="BM28" s="75">
        <v>3</v>
      </c>
      <c r="BO28">
        <v>3</v>
      </c>
      <c r="BP28">
        <v>32.517751479289942</v>
      </c>
      <c r="BZ28" s="42">
        <v>3.5</v>
      </c>
      <c r="CA28" s="42">
        <v>2</v>
      </c>
      <c r="CC28">
        <v>3</v>
      </c>
      <c r="CE28">
        <f t="shared" si="11"/>
        <v>26</v>
      </c>
      <c r="CF28" s="75">
        <v>2</v>
      </c>
      <c r="CM28" s="61">
        <f t="array" ref="CM28">SUM(ABS(TRANSPOSE($BZ27:$CA27)-CI$3:CI$4)^$CI$8)</f>
        <v>21.597633136094672</v>
      </c>
      <c r="CN28">
        <f t="array" ref="CN28">SUM(ABS(TRANSPOSE($BZ27:$CA27)-CJ$3:CJ$4)^$CI$8)</f>
        <v>0.22608024691358033</v>
      </c>
      <c r="CO28" s="62">
        <f t="array" ref="CO28">SUM(ABS(TRANSPOSE($BZ27:$CA27)-CK$3:CK$4)^$CI$8)</f>
        <v>17.793388429752063</v>
      </c>
      <c r="CP28" s="75">
        <f t="shared" si="10"/>
        <v>0.22608024691358033</v>
      </c>
      <c r="CS28">
        <v>3</v>
      </c>
      <c r="CT28">
        <v>32.517751479289942</v>
      </c>
      <c r="CV28" s="61" t="str">
        <v/>
      </c>
      <c r="CW28" t="str">
        <v/>
      </c>
      <c r="CX28" s="62">
        <v>15.748520710059172</v>
      </c>
      <c r="CZ28" s="61">
        <v>23.504847645429365</v>
      </c>
      <c r="DA28">
        <v>107.84249999999999</v>
      </c>
      <c r="DB28" s="62">
        <v>15.498520710059175</v>
      </c>
      <c r="DD28">
        <f>CZ24</f>
        <v>1</v>
      </c>
      <c r="DE28">
        <f>COUNT(CZ25:CZ50)</f>
        <v>19</v>
      </c>
      <c r="DF28">
        <f>SUM(CZ25:CZ50)</f>
        <v>538.65789473684208</v>
      </c>
      <c r="DG28">
        <f>AVERAGE(CZ25:CZ50)</f>
        <v>28.350415512465371</v>
      </c>
      <c r="DH28">
        <f>_xlfn.VAR.S(CZ25:CZ50)</f>
        <v>323.60045094846981</v>
      </c>
      <c r="DI28">
        <f>DEVSQ(CZ25:CZ50)</f>
        <v>5824.8081170724581</v>
      </c>
      <c r="DJ28">
        <f>SQRT(DG35/DE28)</f>
        <v>5.0913736471698261</v>
      </c>
      <c r="DK28">
        <f>DG28-DJ28*_xlfn.T.INV.2T(DJ26,DF35)</f>
        <v>18.133826849996776</v>
      </c>
      <c r="DL28">
        <f>DG28+DJ28*_xlfn.T.INV.2T(DJ26,DF35)</f>
        <v>38.56700417493397</v>
      </c>
      <c r="DN28" t="s">
        <v>300</v>
      </c>
      <c r="DO28" s="61">
        <f>[1]!RANK_SUM(CZ25:DB50, 1,1)</f>
        <v>609</v>
      </c>
      <c r="DP28">
        <f>[1]!RANK_SUM(CZ25:DB50, 2,1)</f>
        <v>308</v>
      </c>
      <c r="DQ28" s="62">
        <f>[1]!RANK_SUM(CZ25:DB50, 3,1)</f>
        <v>623</v>
      </c>
      <c r="DT28" t="str">
        <f t="array" ref="DT28:DU31">[1]!WELCH_TEST(CZ25:DB50,TRUE)</f>
        <v>F-stat</v>
      </c>
      <c r="DU28" s="74">
        <v>1.3678691181069911</v>
      </c>
      <c r="DW28" t="str">
        <f t="array" ref="DW28:DX31">[1]!FSTAR_TEST(CZ25:DB50,TRUE)</f>
        <v>F-star</v>
      </c>
      <c r="DX28" s="74">
        <v>1.1954859541299545</v>
      </c>
      <c r="DZ28" t="s">
        <v>309</v>
      </c>
      <c r="EA28" s="75">
        <f>[1]!LEVENE(CZ25:DB50,1)</f>
        <v>7.0687958580748833E-2</v>
      </c>
      <c r="ES28" s="75">
        <v>1</v>
      </c>
      <c r="ET28" s="49" t="s">
        <v>155</v>
      </c>
      <c r="FI28" t="str">
        <f t="shared" si="18"/>
        <v>R2DOB</v>
      </c>
      <c r="FJ28" s="63">
        <v>0.47272727272727272</v>
      </c>
      <c r="FK28" s="64">
        <v>0.32727272727272727</v>
      </c>
      <c r="FL28" s="65">
        <v>0.2</v>
      </c>
      <c r="FM28">
        <f t="shared" si="19"/>
        <v>1</v>
      </c>
      <c r="GB28" t="str">
        <f t="shared" si="27"/>
        <v>R2DDB</v>
      </c>
      <c r="GC28" s="61">
        <f t="shared" si="28"/>
        <v>0</v>
      </c>
      <c r="GD28">
        <f t="shared" si="29"/>
        <v>2.1739130434782608E-2</v>
      </c>
      <c r="GE28" s="62">
        <f t="shared" si="30"/>
        <v>0</v>
      </c>
      <c r="GF28">
        <f t="shared" si="31"/>
        <v>2.1739130434782608E-2</v>
      </c>
      <c r="GM28" t="str">
        <f t="shared" si="32"/>
        <v>R2DDB</v>
      </c>
      <c r="GN28">
        <f t="shared" si="33"/>
        <v>1.000000000000002</v>
      </c>
      <c r="GO28">
        <f t="shared" si="34"/>
        <v>2.1739130434782608E-2</v>
      </c>
      <c r="GP28">
        <f t="shared" si="35"/>
        <v>1.5555555555555556</v>
      </c>
      <c r="GQ28">
        <f t="shared" si="36"/>
        <v>1.9659648284036109E-2</v>
      </c>
      <c r="GR28">
        <v>0.18166840863353492</v>
      </c>
      <c r="GS28">
        <v>1.2339173979080276</v>
      </c>
      <c r="GT28">
        <f t="shared" si="37"/>
        <v>2.121647830421209E-2</v>
      </c>
      <c r="GU28">
        <f t="shared" si="38"/>
        <v>0.97878352169578986</v>
      </c>
      <c r="GV28">
        <f t="shared" si="39"/>
        <v>7.7951006665637548E-4</v>
      </c>
      <c r="GW28">
        <f t="shared" si="40"/>
        <v>4.1389869421198135E-2</v>
      </c>
      <c r="GY28" t="str">
        <f t="shared" si="23"/>
        <v>R2DN</v>
      </c>
      <c r="GZ28" s="61">
        <f t="shared" si="24"/>
        <v>0.18166840863353492</v>
      </c>
      <c r="HA28" s="62">
        <f t="shared" si="25"/>
        <v>1.2339173979080278</v>
      </c>
    </row>
    <row r="29" spans="12:253" x14ac:dyDescent="0.25">
      <c r="AE29" s="42">
        <v>1</v>
      </c>
      <c r="AF29" s="42">
        <v>2.5</v>
      </c>
      <c r="AG29" s="42">
        <v>6</v>
      </c>
      <c r="AI29">
        <v>3</v>
      </c>
      <c r="AL29">
        <f t="shared" si="7"/>
        <v>28</v>
      </c>
      <c r="AM29" s="75">
        <v>3</v>
      </c>
      <c r="AT29" s="61">
        <f t="array" ref="AT29">SUM(ABS(TRANSPOSE($AE29:$AG29)-AP$2:AP$4)^$AP$8)</f>
        <v>34.491689750692515</v>
      </c>
      <c r="AU29">
        <f t="array" ref="AU29">SUM(ABS(TRANSPOSE($AE29:$AG29)-AQ$2:AQ$4)^$AP$8)</f>
        <v>313.14249999999998</v>
      </c>
      <c r="AV29" s="62">
        <f t="array" ref="AV29">SUM(ABS(TRANSPOSE($AE29:$AG29)-AR$2:AR$4)^$AP$8)</f>
        <v>27.594674556213018</v>
      </c>
      <c r="AW29" s="75">
        <f t="shared" si="2"/>
        <v>27.594674556213018</v>
      </c>
      <c r="AY29">
        <v>34.491689750692515</v>
      </c>
      <c r="AZ29">
        <v>313.14249999999998</v>
      </c>
      <c r="BA29">
        <v>27.594674556213018</v>
      </c>
      <c r="BB29">
        <v>27.594674556213018</v>
      </c>
      <c r="BH29">
        <v>28</v>
      </c>
      <c r="BI29">
        <v>1</v>
      </c>
      <c r="BJ29">
        <v>2.5</v>
      </c>
      <c r="BK29">
        <v>6</v>
      </c>
      <c r="BM29" s="75">
        <v>3</v>
      </c>
      <c r="BO29">
        <v>3</v>
      </c>
      <c r="BP29">
        <v>27.594674556213018</v>
      </c>
      <c r="BZ29" s="42">
        <v>2.5</v>
      </c>
      <c r="CA29" s="42">
        <v>6</v>
      </c>
      <c r="CC29">
        <v>3</v>
      </c>
      <c r="CE29">
        <f t="shared" si="11"/>
        <v>27</v>
      </c>
      <c r="CF29" s="75">
        <v>1</v>
      </c>
      <c r="CM29" s="61">
        <f t="array" ref="CM29">SUM(ABS(TRANSPOSE($BZ28:$CA28)-CI$3:CI$4)^$CI$8)</f>
        <v>8.6168639053254434</v>
      </c>
      <c r="CN29">
        <f t="array" ref="CN29">SUM(ABS(TRANSPOSE($BZ28:$CA28)-CJ$3:CJ$4)^$CI$8)</f>
        <v>13.226080246913581</v>
      </c>
      <c r="CO29" s="62">
        <f t="array" ref="CO29">SUM(ABS(TRANSPOSE($BZ28:$CA28)-CK$3:CK$4)^$CI$8)</f>
        <v>16.497933884297517</v>
      </c>
      <c r="CP29" s="75">
        <f t="shared" si="10"/>
        <v>8.6168639053254434</v>
      </c>
      <c r="CS29">
        <v>3</v>
      </c>
      <c r="CT29">
        <v>27.594674556213018</v>
      </c>
      <c r="CV29" s="61" t="str">
        <v/>
      </c>
      <c r="CW29" t="str">
        <v/>
      </c>
      <c r="CX29" s="62">
        <v>102.72928994082839</v>
      </c>
      <c r="CZ29" s="61">
        <v>11.491689750692519</v>
      </c>
      <c r="DA29">
        <v>50.742500000000021</v>
      </c>
      <c r="DB29" s="62">
        <v>24.210059171597631</v>
      </c>
      <c r="DD29">
        <f>DA24</f>
        <v>2</v>
      </c>
      <c r="DE29">
        <f>COUNT(DA25:DA50)</f>
        <v>10</v>
      </c>
      <c r="DF29">
        <f>SUM(DA25:DA50)</f>
        <v>345.82499999999999</v>
      </c>
      <c r="DG29">
        <f>AVERAGE(DA25:DA50)</f>
        <v>34.582499999999996</v>
      </c>
      <c r="DH29">
        <f>_xlfn.VAR.S(DA25:DA50)</f>
        <v>1147.7315555555556</v>
      </c>
      <c r="DI29">
        <f>DEVSQ(DA25:DA50)</f>
        <v>10329.583999999997</v>
      </c>
      <c r="DJ29">
        <f>SQRT(DG35/DE29)</f>
        <v>7.0179742567696284</v>
      </c>
      <c r="DK29">
        <f>DG29-DJ29*_xlfn.T.INV.2T(DJ26,DF35)</f>
        <v>20.499904379648058</v>
      </c>
      <c r="DL29">
        <f>DG29+DJ29*_xlfn.T.INV.2T(DJ26,DF35)</f>
        <v>48.665095620351934</v>
      </c>
      <c r="DN29" t="s">
        <v>301</v>
      </c>
      <c r="DO29" s="61">
        <f>COUNT(CZ25:CZ50)</f>
        <v>19</v>
      </c>
      <c r="DP29">
        <f t="shared" ref="DP29:DQ29" si="53">COUNT(DA25:DA50)</f>
        <v>10</v>
      </c>
      <c r="DQ29" s="62">
        <f t="shared" si="53"/>
        <v>26</v>
      </c>
      <c r="DR29" s="74">
        <f>SUM(DO29:DQ29)</f>
        <v>55</v>
      </c>
      <c r="DT29" t="str">
        <v>df1</v>
      </c>
      <c r="DU29" s="75">
        <v>2</v>
      </c>
      <c r="DW29" t="str">
        <v>df1</v>
      </c>
      <c r="DX29" s="75">
        <v>2</v>
      </c>
      <c r="DZ29" t="s">
        <v>310</v>
      </c>
      <c r="EA29" s="76">
        <f>[1]!LEVENE(CZ25:DB50,-1)</f>
        <v>2.3187007988267894E-2</v>
      </c>
      <c r="ES29" s="75">
        <v>2</v>
      </c>
      <c r="ET29" s="49" t="s">
        <v>157</v>
      </c>
      <c r="FI29" t="s">
        <v>211</v>
      </c>
      <c r="FJ29">
        <f t="shared" ref="FJ29" si="54">SUM(FD4:FD25)</f>
        <v>26</v>
      </c>
      <c r="FK29">
        <f t="shared" ref="FK29" si="55">SUM(FE4:FE25)</f>
        <v>18</v>
      </c>
      <c r="FL29">
        <f t="shared" ref="FL29" si="56">SUM(FF4:FF25)</f>
        <v>11</v>
      </c>
      <c r="FM29">
        <f>SUM(FM7:FM28)</f>
        <v>55</v>
      </c>
      <c r="GB29" t="str">
        <f t="shared" si="27"/>
        <v>R2DN</v>
      </c>
      <c r="GC29" s="61">
        <f t="shared" si="28"/>
        <v>0</v>
      </c>
      <c r="GD29">
        <f t="shared" si="29"/>
        <v>8.6956521739130432E-2</v>
      </c>
      <c r="GE29" s="62">
        <f t="shared" si="30"/>
        <v>0</v>
      </c>
      <c r="GF29">
        <f t="shared" si="31"/>
        <v>8.6956521739130432E-2</v>
      </c>
      <c r="GM29" t="str">
        <f t="shared" si="32"/>
        <v>R2DN</v>
      </c>
      <c r="GN29">
        <f t="shared" si="33"/>
        <v>1.0000000000000024</v>
      </c>
      <c r="GO29">
        <f t="shared" si="34"/>
        <v>8.6956521739130432E-2</v>
      </c>
      <c r="GP29">
        <f t="shared" si="35"/>
        <v>1.5555555555555556</v>
      </c>
      <c r="GQ29">
        <f t="shared" si="36"/>
        <v>7.8638593136144436E-2</v>
      </c>
      <c r="GR29">
        <v>0.18166840863353492</v>
      </c>
      <c r="GS29">
        <v>1.2339173979080278</v>
      </c>
      <c r="GT29">
        <f t="shared" si="37"/>
        <v>2.121647830421209E-2</v>
      </c>
      <c r="GU29">
        <f t="shared" si="38"/>
        <v>0.9787835216957903</v>
      </c>
      <c r="GV29">
        <f t="shared" si="39"/>
        <v>3.1180402666255019E-3</v>
      </c>
      <c r="GW29">
        <f t="shared" si="40"/>
        <v>0.16555947768479259</v>
      </c>
      <c r="GY29" t="str">
        <f t="shared" si="23"/>
        <v>R2DOB</v>
      </c>
      <c r="GZ29" s="61">
        <f t="shared" si="24"/>
        <v>-1.1368219113504965</v>
      </c>
      <c r="HA29" s="62">
        <f t="shared" si="25"/>
        <v>-0.64305388173509648</v>
      </c>
    </row>
    <row r="30" spans="12:253" x14ac:dyDescent="0.25">
      <c r="AE30" s="10">
        <v>3</v>
      </c>
      <c r="AF30" s="10">
        <v>5.5</v>
      </c>
      <c r="AG30" s="10">
        <v>5</v>
      </c>
      <c r="AI30">
        <v>1</v>
      </c>
      <c r="AL30">
        <f t="shared" si="7"/>
        <v>29</v>
      </c>
      <c r="AM30" s="75">
        <v>1</v>
      </c>
      <c r="AT30" s="61">
        <f t="array" ref="AT30">SUM(ABS(TRANSPOSE($AE30:$AG30)-AP$2:AP$4)^$AP$8)</f>
        <v>13.912742382271468</v>
      </c>
      <c r="AU30">
        <f t="array" ref="AU30">SUM(ABS(TRANSPOSE($AE30:$AG30)-AQ$2:AQ$4)^$AP$8)</f>
        <v>373.6425000000001</v>
      </c>
      <c r="AV30" s="62">
        <f t="array" ref="AV30">SUM(ABS(TRANSPOSE($AE30:$AG30)-AR$2:AR$4)^$AP$8)</f>
        <v>57.286982248520715</v>
      </c>
      <c r="AW30" s="75">
        <f t="shared" si="2"/>
        <v>13.912742382271468</v>
      </c>
      <c r="AY30">
        <v>13.912742382271468</v>
      </c>
      <c r="AZ30">
        <v>373.6425000000001</v>
      </c>
      <c r="BA30">
        <v>57.286982248520715</v>
      </c>
      <c r="BB30">
        <v>13.912742382271468</v>
      </c>
      <c r="BH30">
        <v>29</v>
      </c>
      <c r="BI30">
        <v>3</v>
      </c>
      <c r="BJ30">
        <v>5.5</v>
      </c>
      <c r="BK30">
        <v>5</v>
      </c>
      <c r="BM30" s="75">
        <v>1</v>
      </c>
      <c r="BO30">
        <v>1</v>
      </c>
      <c r="BP30">
        <v>13.912742382271468</v>
      </c>
      <c r="BZ30" s="10">
        <v>5.5</v>
      </c>
      <c r="CA30" s="10">
        <v>5</v>
      </c>
      <c r="CC30">
        <v>1</v>
      </c>
      <c r="CE30">
        <f t="shared" si="11"/>
        <v>28</v>
      </c>
      <c r="CF30" s="75">
        <v>2</v>
      </c>
      <c r="CM30" s="61">
        <f t="array" ref="CM30">SUM(ABS(TRANSPOSE($BZ29:$CA29)-CI$3:CI$4)^$CI$8)</f>
        <v>22.463017751479288</v>
      </c>
      <c r="CN30">
        <f t="array" ref="CN30">SUM(ABS(TRANSPOSE($BZ29:$CA29)-CJ$3:CJ$4)^$CI$8)</f>
        <v>1.8371913580246919</v>
      </c>
      <c r="CO30" s="62">
        <f t="array" ref="CO30">SUM(ABS(TRANSPOSE($BZ29:$CA29)-CK$3:CK$4)^$CI$8)</f>
        <v>28.316115702479337</v>
      </c>
      <c r="CP30" s="75">
        <f t="shared" si="10"/>
        <v>1.8371913580246919</v>
      </c>
      <c r="CS30">
        <v>1</v>
      </c>
      <c r="CT30">
        <v>13.912742382271468</v>
      </c>
      <c r="CV30" s="63" t="str">
        <v/>
      </c>
      <c r="CW30" s="64" t="str">
        <v/>
      </c>
      <c r="CX30" s="65">
        <v>7.8831360946745548</v>
      </c>
      <c r="CZ30" s="61">
        <v>35.189058171745145</v>
      </c>
      <c r="DA30">
        <v>45.942499999999988</v>
      </c>
      <c r="DB30" s="62">
        <v>0.671597633136095</v>
      </c>
      <c r="DD30">
        <f>DB24</f>
        <v>3</v>
      </c>
      <c r="DE30">
        <f>COUNT(DB25:DB50)</f>
        <v>26</v>
      </c>
      <c r="DF30">
        <f>SUM(DB25:DB50)</f>
        <v>534.03846153846155</v>
      </c>
      <c r="DG30">
        <f>AVERAGE(DB25:DB50)</f>
        <v>20.539940828402369</v>
      </c>
      <c r="DH30">
        <f>_xlfn.VAR.S(DB25:DB50)</f>
        <v>378.26513882567122</v>
      </c>
      <c r="DI30">
        <f>DEVSQ(DB25:DB50)</f>
        <v>9456.6284706417828</v>
      </c>
      <c r="DJ30">
        <f>SQRT(DG35/DE30)</f>
        <v>4.3523628714615921</v>
      </c>
      <c r="DK30">
        <f>DG30-DJ30*_xlfn.T.INV.2T(DJ26,DF35)</f>
        <v>11.806285777914859</v>
      </c>
      <c r="DL30">
        <f>DG30+DJ30*_xlfn.T.INV.2T(DJ26,DF35)</f>
        <v>29.273595878889878</v>
      </c>
      <c r="DN30" t="s">
        <v>302</v>
      </c>
      <c r="DO30" s="63">
        <f>DO28^2/DO29</f>
        <v>19520.052631578947</v>
      </c>
      <c r="DP30" s="64">
        <f t="shared" ref="DP30:DQ30" si="57">DP28^2/DP29</f>
        <v>9486.4</v>
      </c>
      <c r="DQ30" s="65">
        <f t="shared" si="57"/>
        <v>14928.038461538461</v>
      </c>
      <c r="DR30" s="75">
        <f>SUM(DO30:DQ30)</f>
        <v>43934.491093117409</v>
      </c>
      <c r="DT30" t="str">
        <v>df2</v>
      </c>
      <c r="DU30" s="75">
        <v>21.311395437224618</v>
      </c>
      <c r="DW30" t="str">
        <v>df2</v>
      </c>
      <c r="DX30" s="75">
        <v>17.864778596943491</v>
      </c>
      <c r="ES30" s="75">
        <v>1</v>
      </c>
      <c r="ET30" s="49" t="s">
        <v>141</v>
      </c>
      <c r="GB30" t="str">
        <f t="shared" si="27"/>
        <v>R2DOB</v>
      </c>
      <c r="GC30" s="63">
        <f t="shared" si="28"/>
        <v>2.1739130434782608E-2</v>
      </c>
      <c r="GD30" s="64">
        <f t="shared" si="29"/>
        <v>0</v>
      </c>
      <c r="GE30" s="65">
        <f t="shared" si="30"/>
        <v>0</v>
      </c>
      <c r="GF30">
        <f t="shared" si="31"/>
        <v>2.1739130434782608E-2</v>
      </c>
      <c r="GM30" s="68" t="str">
        <f t="shared" si="32"/>
        <v>R2DOB</v>
      </c>
      <c r="GN30" s="68">
        <f t="shared" si="33"/>
        <v>0.99999999999999711</v>
      </c>
      <c r="GO30" s="68">
        <f t="shared" si="34"/>
        <v>2.1739130434782608E-2</v>
      </c>
      <c r="GP30" s="68">
        <f t="shared" si="35"/>
        <v>1.7058823529411764</v>
      </c>
      <c r="GQ30" s="68">
        <f t="shared" si="36"/>
        <v>2.1559530261064809E-2</v>
      </c>
      <c r="GR30" s="68">
        <v>-1.1368219113504965</v>
      </c>
      <c r="GS30" s="68">
        <v>-0.64305388173509648</v>
      </c>
      <c r="GT30" s="68">
        <f t="shared" si="37"/>
        <v>0.75759272372938391</v>
      </c>
      <c r="GU30" s="68">
        <f t="shared" si="38"/>
        <v>0.2424072762706132</v>
      </c>
      <c r="GV30" s="68">
        <f t="shared" si="39"/>
        <v>3.052444495482786E-2</v>
      </c>
      <c r="GW30" s="68">
        <f t="shared" si="40"/>
        <v>1.124130183877824E-2</v>
      </c>
      <c r="GY30">
        <f>GM36</f>
        <v>1</v>
      </c>
      <c r="GZ30" s="61">
        <f>GR36</f>
        <v>-1.0906416223151889</v>
      </c>
      <c r="HA30" s="62">
        <f>GS36</f>
        <v>-0.57505251593196849</v>
      </c>
    </row>
    <row r="31" spans="12:253" x14ac:dyDescent="0.25">
      <c r="AE31" s="10">
        <v>-12</v>
      </c>
      <c r="AF31" s="10">
        <v>8</v>
      </c>
      <c r="AG31" s="10">
        <v>7</v>
      </c>
      <c r="AI31">
        <v>2</v>
      </c>
      <c r="AL31">
        <f t="shared" si="7"/>
        <v>30</v>
      </c>
      <c r="AM31" s="75">
        <v>2</v>
      </c>
      <c r="AT31" s="61">
        <f t="array" ref="AT31">SUM(ABS(TRANSPOSE($AE31:$AG31)-AP$2:AP$4)^$AP$8)</f>
        <v>358.13642659279776</v>
      </c>
      <c r="AU31">
        <f t="array" ref="AU31">SUM(ABS(TRANSPOSE($AE31:$AG31)-AQ$2:AQ$4)^$AP$8)</f>
        <v>50.742500000000021</v>
      </c>
      <c r="AV31" s="62">
        <f t="array" ref="AV31">SUM(ABS(TRANSPOSE($AE31:$AG31)-AR$2:AR$4)^$AP$8)</f>
        <v>113.49852071005915</v>
      </c>
      <c r="AW31" s="75">
        <f t="shared" si="2"/>
        <v>50.742500000000021</v>
      </c>
      <c r="AY31">
        <v>358.13642659279776</v>
      </c>
      <c r="AZ31">
        <v>50.742500000000021</v>
      </c>
      <c r="BA31">
        <v>113.49852071005915</v>
      </c>
      <c r="BB31">
        <v>50.742500000000021</v>
      </c>
      <c r="BH31">
        <v>30</v>
      </c>
      <c r="BI31">
        <v>-12</v>
      </c>
      <c r="BJ31">
        <v>8</v>
      </c>
      <c r="BK31">
        <v>7</v>
      </c>
      <c r="BM31" s="75">
        <v>2</v>
      </c>
      <c r="BO31">
        <v>2</v>
      </c>
      <c r="BP31">
        <v>50.742500000000021</v>
      </c>
      <c r="BZ31" s="10">
        <v>8</v>
      </c>
      <c r="CA31" s="10">
        <v>7</v>
      </c>
      <c r="CC31">
        <v>2</v>
      </c>
      <c r="CE31">
        <f t="shared" si="11"/>
        <v>29</v>
      </c>
      <c r="CF31" s="75">
        <v>1</v>
      </c>
      <c r="CM31" s="61">
        <f t="array" ref="CM31">SUM(ABS(TRANSPOSE($BZ30:$CA30)-CI$3:CI$4)^$CI$8)</f>
        <v>4.2322485207100584</v>
      </c>
      <c r="CN31">
        <f t="array" ref="CN31">SUM(ABS(TRANSPOSE($BZ30:$CA30)-CJ$3:CJ$4)^$CI$8)</f>
        <v>15.781635802469138</v>
      </c>
      <c r="CO31" s="62">
        <f t="array" ref="CO31">SUM(ABS(TRANSPOSE($BZ30:$CA30)-CK$3:CK$4)^$CI$8)</f>
        <v>47.861570247933869</v>
      </c>
      <c r="CP31" s="75">
        <f t="shared" si="10"/>
        <v>4.2322485207100584</v>
      </c>
      <c r="CS31">
        <v>2</v>
      </c>
      <c r="CT31">
        <v>50.742500000000021</v>
      </c>
      <c r="CZ31" s="61">
        <v>40.439058171745145</v>
      </c>
      <c r="DA31">
        <v>4.2500000000000406E-2</v>
      </c>
      <c r="DB31" s="62">
        <v>20.960059171597631</v>
      </c>
      <c r="DD31" s="54"/>
      <c r="DE31" s="54"/>
      <c r="DF31" s="54"/>
      <c r="DG31" s="54"/>
      <c r="DH31" s="54"/>
      <c r="DI31" s="54"/>
      <c r="DJ31" s="54"/>
      <c r="DK31" s="54"/>
      <c r="DL31" s="54"/>
      <c r="DN31" t="s">
        <v>303</v>
      </c>
      <c r="DR31" s="75">
        <f>12*DR30/(DR29*(DR29+1))-3*(DR29+1)</f>
        <v>3.1733419212366698</v>
      </c>
      <c r="DT31" t="str">
        <v>p-value</v>
      </c>
      <c r="DU31" s="75">
        <v>0.27611717238856381</v>
      </c>
      <c r="DW31" t="str">
        <v>p-value</v>
      </c>
      <c r="DX31" s="75">
        <v>0.32563561938159546</v>
      </c>
      <c r="ES31" s="75">
        <v>1</v>
      </c>
      <c r="ET31" s="49" t="s">
        <v>145</v>
      </c>
      <c r="GC31">
        <f>SUM(GC9:GC30)</f>
        <v>0.36956521739130432</v>
      </c>
      <c r="GD31">
        <f t="shared" ref="GD31:GE31" si="58">SUM(GD9:GD30)</f>
        <v>0.39130434782608692</v>
      </c>
      <c r="GE31">
        <f t="shared" si="58"/>
        <v>0.2391304347826087</v>
      </c>
      <c r="GF31">
        <f>SUM(FW4:FY25)</f>
        <v>46</v>
      </c>
      <c r="GQ31">
        <f>SUMPRODUCT(GO9:GO30,GP9:GP30)</f>
        <v>1.7200930877401466</v>
      </c>
      <c r="GY31">
        <f t="shared" ref="GY31:GY32" si="59">GM37</f>
        <v>2</v>
      </c>
      <c r="GZ31" s="61">
        <f t="shared" ref="GZ31:HA31" si="60">GR37</f>
        <v>0.17428862510234433</v>
      </c>
      <c r="HA31" s="62">
        <f t="shared" si="60"/>
        <v>1.1034336690491244</v>
      </c>
    </row>
    <row r="32" spans="12:253" ht="15.75" thickBot="1" x14ac:dyDescent="0.3">
      <c r="AE32" s="10">
        <v>9</v>
      </c>
      <c r="AF32" s="10">
        <v>1.5</v>
      </c>
      <c r="AG32" s="10">
        <v>3</v>
      </c>
      <c r="AI32">
        <v>2</v>
      </c>
      <c r="AL32">
        <f t="shared" si="7"/>
        <v>31</v>
      </c>
      <c r="AM32" s="75">
        <v>1</v>
      </c>
      <c r="AT32" s="61">
        <f t="array" ref="AT32">SUM(ABS(TRANSPOSE($AE32:$AG32)-AP$2:AP$4)^$AP$8)</f>
        <v>14.860110803324101</v>
      </c>
      <c r="AU32">
        <f t="array" ref="AU32">SUM(ABS(TRANSPOSE($AE32:$AG32)-AQ$2:AQ$4)^$AP$8)</f>
        <v>642.04250000000002</v>
      </c>
      <c r="AV32" s="62">
        <f t="array" ref="AV32">SUM(ABS(TRANSPOSE($AE32:$AG32)-AR$2:AR$4)^$AP$8)</f>
        <v>162.05621301775153</v>
      </c>
      <c r="AW32" s="75">
        <f t="shared" si="2"/>
        <v>14.860110803324101</v>
      </c>
      <c r="AY32">
        <v>14.860110803324101</v>
      </c>
      <c r="AZ32">
        <v>642.04250000000002</v>
      </c>
      <c r="BA32">
        <v>162.05621301775153</v>
      </c>
      <c r="BB32">
        <v>14.860110803324101</v>
      </c>
      <c r="BH32">
        <v>31</v>
      </c>
      <c r="BI32">
        <v>9</v>
      </c>
      <c r="BJ32">
        <v>1.5</v>
      </c>
      <c r="BK32">
        <v>3</v>
      </c>
      <c r="BM32" s="75">
        <v>1</v>
      </c>
      <c r="BO32">
        <v>1</v>
      </c>
      <c r="BP32">
        <v>14.860110803324101</v>
      </c>
      <c r="BZ32" s="10">
        <v>1.5</v>
      </c>
      <c r="CA32" s="10">
        <v>3</v>
      </c>
      <c r="CC32">
        <v>2</v>
      </c>
      <c r="CE32">
        <f t="shared" si="11"/>
        <v>30</v>
      </c>
      <c r="CF32" s="75">
        <v>1</v>
      </c>
      <c r="CM32" s="61">
        <f t="array" ref="CM32">SUM(ABS(TRANSPOSE($BZ31:$CA31)-CI$3:CI$4)^$CI$8)</f>
        <v>18.520710059171595</v>
      </c>
      <c r="CN32">
        <f t="array" ref="CN32">SUM(ABS(TRANSPOSE($BZ31:$CA31)-CJ$3:CJ$4)^$CI$8)</f>
        <v>45.670524691358032</v>
      </c>
      <c r="CO32" s="62">
        <f t="array" ref="CO32">SUM(ABS(TRANSPOSE($BZ31:$CA31)-CK$3:CK$4)^$CI$8)</f>
        <v>101.79338842975206</v>
      </c>
      <c r="CP32" s="75">
        <f t="shared" si="10"/>
        <v>18.520710059171595</v>
      </c>
      <c r="CS32">
        <v>1</v>
      </c>
      <c r="CT32">
        <v>14.860110803324101</v>
      </c>
      <c r="CZ32" s="61">
        <v>37.67590027700831</v>
      </c>
      <c r="DA32">
        <v>11.442500000000004</v>
      </c>
      <c r="DB32" s="62">
        <v>27.883136094674558</v>
      </c>
      <c r="DD32" t="s">
        <v>273</v>
      </c>
      <c r="DN32" t="s">
        <v>304</v>
      </c>
      <c r="DR32" s="75">
        <f>DR31/(1-[1]!TiesCorrection(CZ25:DB50)/(DR29*(DR29^2-1)))</f>
        <v>3.1735708946056893</v>
      </c>
      <c r="DT32" t="s">
        <v>224</v>
      </c>
      <c r="DU32" s="77" t="str">
        <f>IF(DU31&lt;DU26,"yes","no")</f>
        <v>no</v>
      </c>
      <c r="DW32" t="s">
        <v>224</v>
      </c>
      <c r="DX32" s="77" t="str">
        <f>IF(DX31&lt;DX26,"yes","no")</f>
        <v>no</v>
      </c>
      <c r="ES32" s="75">
        <v>2</v>
      </c>
      <c r="ET32" s="49" t="s">
        <v>171</v>
      </c>
      <c r="GY32">
        <f t="shared" si="59"/>
        <v>3</v>
      </c>
      <c r="GZ32" s="63">
        <f t="shared" ref="GZ32:HA32" si="61">GR38</f>
        <v>1.4003374843196481</v>
      </c>
      <c r="HA32" s="65">
        <f t="shared" si="61"/>
        <v>-0.91690120654916085</v>
      </c>
    </row>
    <row r="33" spans="22:205" ht="15.75" thickTop="1" x14ac:dyDescent="0.25">
      <c r="AE33" s="10">
        <v>12</v>
      </c>
      <c r="AF33" s="10">
        <v>-2</v>
      </c>
      <c r="AG33" s="10">
        <v>5</v>
      </c>
      <c r="AI33">
        <v>2</v>
      </c>
      <c r="AL33">
        <f t="shared" si="7"/>
        <v>32</v>
      </c>
      <c r="AM33" s="75">
        <v>1</v>
      </c>
      <c r="AT33" s="61">
        <f t="array" ref="AT33">SUM(ABS(TRANSPOSE($AE33:$AG33)-AP$2:AP$4)^$AP$8)</f>
        <v>71.189058171745145</v>
      </c>
      <c r="AU33">
        <f t="array" ref="AU33">SUM(ABS(TRANSPOSE($AE33:$AG33)-AQ$2:AQ$4)^$AP$8)</f>
        <v>844.94250000000011</v>
      </c>
      <c r="AV33" s="62">
        <f t="array" ref="AV33">SUM(ABS(TRANSPOSE($AE33:$AG33)-AR$2:AR$4)^$AP$8)</f>
        <v>265.96005917159766</v>
      </c>
      <c r="AW33" s="75">
        <f t="shared" si="2"/>
        <v>71.189058171745145</v>
      </c>
      <c r="AY33">
        <v>71.189058171745145</v>
      </c>
      <c r="AZ33">
        <v>844.94250000000011</v>
      </c>
      <c r="BA33">
        <v>265.96005917159766</v>
      </c>
      <c r="BB33">
        <v>71.189058171745145</v>
      </c>
      <c r="BH33">
        <v>32</v>
      </c>
      <c r="BI33">
        <v>12</v>
      </c>
      <c r="BJ33">
        <v>-2</v>
      </c>
      <c r="BK33">
        <v>5</v>
      </c>
      <c r="BM33" s="75">
        <v>1</v>
      </c>
      <c r="BO33">
        <v>1</v>
      </c>
      <c r="BP33">
        <v>71.189058171745145</v>
      </c>
      <c r="BZ33" s="10">
        <v>-2</v>
      </c>
      <c r="CA33" s="10">
        <v>5</v>
      </c>
      <c r="CC33">
        <v>2</v>
      </c>
      <c r="CE33">
        <f t="shared" si="11"/>
        <v>31</v>
      </c>
      <c r="CF33" s="75">
        <v>2</v>
      </c>
      <c r="CM33" s="61">
        <f t="array" ref="CM33">SUM(ABS(TRANSPOSE($BZ32:$CA32)-CI$3:CI$4)^$CI$8)</f>
        <v>22.386094674556215</v>
      </c>
      <c r="CN33">
        <f t="array" ref="CN33">SUM(ABS(TRANSPOSE($BZ32:$CA32)-CJ$3:CJ$4)^$CI$8)</f>
        <v>4.226080246913579</v>
      </c>
      <c r="CO33" s="62">
        <f t="array" ref="CO33">SUM(ABS(TRANSPOSE($BZ32:$CA32)-CK$3:CK$4)^$CI$8)</f>
        <v>6.0433884297520661</v>
      </c>
      <c r="CP33" s="75">
        <f t="shared" si="10"/>
        <v>4.226080246913579</v>
      </c>
      <c r="CS33">
        <v>1</v>
      </c>
      <c r="CT33">
        <v>71.189058171745145</v>
      </c>
      <c r="CZ33" s="61">
        <v>13.912742382271468</v>
      </c>
      <c r="DA33">
        <v>27.942500000000006</v>
      </c>
      <c r="DB33" s="62">
        <v>24.421597633136091</v>
      </c>
      <c r="DD33" s="66" t="s">
        <v>274</v>
      </c>
      <c r="DE33" s="66" t="s">
        <v>269</v>
      </c>
      <c r="DF33" s="66" t="s">
        <v>218</v>
      </c>
      <c r="DG33" s="66" t="s">
        <v>275</v>
      </c>
      <c r="DH33" s="66" t="s">
        <v>11</v>
      </c>
      <c r="DI33" s="66" t="s">
        <v>276</v>
      </c>
      <c r="DJ33" s="66" t="s">
        <v>277</v>
      </c>
      <c r="DK33" s="66" t="s">
        <v>278</v>
      </c>
      <c r="DL33" s="66" t="s">
        <v>279</v>
      </c>
      <c r="DN33" t="s">
        <v>218</v>
      </c>
      <c r="DR33" s="75">
        <f>COUNTA(DO26:DQ26)-1</f>
        <v>2</v>
      </c>
      <c r="ES33" s="75">
        <v>2</v>
      </c>
      <c r="ET33" s="49" t="s">
        <v>177</v>
      </c>
      <c r="GM33" t="s">
        <v>245</v>
      </c>
    </row>
    <row r="34" spans="22:205" ht="15.75" thickBot="1" x14ac:dyDescent="0.3">
      <c r="AE34" s="10">
        <v>-5</v>
      </c>
      <c r="AF34" s="10">
        <v>0.5</v>
      </c>
      <c r="AG34" s="10">
        <v>2</v>
      </c>
      <c r="AI34">
        <v>2</v>
      </c>
      <c r="AL34">
        <f t="shared" si="7"/>
        <v>33</v>
      </c>
      <c r="AM34" s="75">
        <v>3</v>
      </c>
      <c r="AT34" s="61">
        <f t="array" ref="AT34">SUM(ABS(TRANSPOSE($AE34:$AG34)-AP$2:AP$4)^$AP$8)</f>
        <v>142.28116343490305</v>
      </c>
      <c r="AU34">
        <f t="array" ref="AU34">SUM(ABS(TRANSPOSE($AE34:$AG34)-AQ$2:AQ$4)^$AP$8)</f>
        <v>142.14250000000001</v>
      </c>
      <c r="AV34" s="62">
        <f t="array" ref="AV34">SUM(ABS(TRANSPOSE($AE34:$AG34)-AR$2:AR$4)^$AP$8)</f>
        <v>7.4408284023668632</v>
      </c>
      <c r="AW34" s="75">
        <f t="shared" si="2"/>
        <v>7.4408284023668632</v>
      </c>
      <c r="AY34">
        <v>142.28116343490305</v>
      </c>
      <c r="AZ34">
        <v>142.14250000000001</v>
      </c>
      <c r="BA34">
        <v>7.4408284023668632</v>
      </c>
      <c r="BB34">
        <v>7.4408284023668632</v>
      </c>
      <c r="BH34">
        <v>33</v>
      </c>
      <c r="BI34">
        <v>-5</v>
      </c>
      <c r="BJ34">
        <v>0.5</v>
      </c>
      <c r="BK34">
        <v>2</v>
      </c>
      <c r="BM34" s="75">
        <v>3</v>
      </c>
      <c r="BO34">
        <v>3</v>
      </c>
      <c r="BP34">
        <v>7.4408284023668632</v>
      </c>
      <c r="BZ34" s="10">
        <v>0.5</v>
      </c>
      <c r="CA34" s="10">
        <v>2</v>
      </c>
      <c r="CC34">
        <v>2</v>
      </c>
      <c r="CE34">
        <f t="shared" si="11"/>
        <v>32</v>
      </c>
      <c r="CF34" s="75">
        <v>2</v>
      </c>
      <c r="CM34" s="61">
        <f t="array" ref="CM34">SUM(ABS(TRANSPOSE($BZ33:$CA33)-CI$3:CI$4)^$CI$8)</f>
        <v>71.443786982248511</v>
      </c>
      <c r="CN34">
        <f t="array" ref="CN34">SUM(ABS(TRANSPOSE($BZ33:$CA33)-CJ$3:CJ$4)^$CI$8)</f>
        <v>12.448302469135802</v>
      </c>
      <c r="CO34" s="62">
        <f t="array" ref="CO34">SUM(ABS(TRANSPOSE($BZ33:$CA33)-CK$3:CK$4)^$CI$8)</f>
        <v>13.4297520661157</v>
      </c>
      <c r="CP34" s="75">
        <f t="shared" si="10"/>
        <v>12.448302469135802</v>
      </c>
      <c r="CS34">
        <v>3</v>
      </c>
      <c r="CT34">
        <v>7.4408284023668632</v>
      </c>
      <c r="CZ34" s="61">
        <v>14.860110803324101</v>
      </c>
      <c r="DA34">
        <v>11.842499999999999</v>
      </c>
      <c r="DB34" s="62">
        <v>14.363905325443787</v>
      </c>
      <c r="DD34" t="s">
        <v>280</v>
      </c>
      <c r="DE34">
        <f>DE36-DE35</f>
        <v>1614.2804481934945</v>
      </c>
      <c r="DF34">
        <f>COUNTA(DD28:DD30)-1</f>
        <v>2</v>
      </c>
      <c r="DG34">
        <f>DE34/DF34</f>
        <v>807.14022409674726</v>
      </c>
      <c r="DH34">
        <f>DG34/DG35</f>
        <v>1.638798091207843</v>
      </c>
      <c r="DI34">
        <f>_xlfn.F.DIST.RT(DH34,DF34,DF35)</f>
        <v>0.20408404924875856</v>
      </c>
      <c r="DJ34">
        <f>DE34/DE36</f>
        <v>5.9293392057057637E-2</v>
      </c>
      <c r="DK34">
        <f>SQRT(DEVSQ(DG28:DG30)/(DG35*DF34))</f>
        <v>0.3170421799839005</v>
      </c>
      <c r="DL34">
        <f>(DE36-DF36*DG35)/(DE36+DG35)</f>
        <v>2.270168360202425E-2</v>
      </c>
      <c r="DN34" t="s">
        <v>222</v>
      </c>
      <c r="DR34" s="75">
        <f>_xlfn.CHISQ.DIST.RT(DR32,DR33)</f>
        <v>0.20458219610657238</v>
      </c>
      <c r="ES34" s="75">
        <v>3</v>
      </c>
      <c r="ET34" s="49" t="s">
        <v>185</v>
      </c>
    </row>
    <row r="35" spans="22:205" ht="15.75" thickTop="1" x14ac:dyDescent="0.25">
      <c r="AE35" s="10">
        <v>11</v>
      </c>
      <c r="AF35" s="10">
        <v>5.5</v>
      </c>
      <c r="AG35" s="10">
        <v>6</v>
      </c>
      <c r="AI35">
        <v>1</v>
      </c>
      <c r="AL35">
        <f t="shared" si="7"/>
        <v>34</v>
      </c>
      <c r="AM35" s="75">
        <v>1</v>
      </c>
      <c r="AT35" s="61">
        <f t="array" ref="AT35">SUM(ABS(TRANSPOSE($AE35:$AG35)-AP$2:AP$4)^$AP$8)</f>
        <v>29.43905817174516</v>
      </c>
      <c r="AU35">
        <f t="array" ref="AU35">SUM(ABS(TRANSPOSE($AE35:$AG35)-AQ$2:AQ$4)^$AP$8)</f>
        <v>750.04250000000013</v>
      </c>
      <c r="AV35" s="62">
        <f t="array" ref="AV35">SUM(ABS(TRANSPOSE($AE35:$AG35)-AR$2:AR$4)^$AP$8)</f>
        <v>232.0562130177515</v>
      </c>
      <c r="AW35" s="75">
        <f t="shared" si="2"/>
        <v>29.43905817174516</v>
      </c>
      <c r="AY35">
        <v>29.43905817174516</v>
      </c>
      <c r="AZ35">
        <v>750.04250000000013</v>
      </c>
      <c r="BA35">
        <v>232.0562130177515</v>
      </c>
      <c r="BB35">
        <v>29.43905817174516</v>
      </c>
      <c r="BH35">
        <v>34</v>
      </c>
      <c r="BI35">
        <v>11</v>
      </c>
      <c r="BJ35">
        <v>5.5</v>
      </c>
      <c r="BK35">
        <v>6</v>
      </c>
      <c r="BM35" s="75">
        <v>1</v>
      </c>
      <c r="BO35">
        <v>1</v>
      </c>
      <c r="BP35">
        <v>29.43905817174516</v>
      </c>
      <c r="BZ35" s="10">
        <v>5.5</v>
      </c>
      <c r="CA35" s="10">
        <v>6</v>
      </c>
      <c r="CC35">
        <v>1</v>
      </c>
      <c r="CE35">
        <f t="shared" si="11"/>
        <v>33</v>
      </c>
      <c r="CF35" s="75">
        <v>3</v>
      </c>
      <c r="CM35" s="61">
        <f t="array" ref="CM35">SUM(ABS(TRANSPOSE($BZ34:$CA34)-CI$3:CI$4)^$CI$8)</f>
        <v>34.001479289940832</v>
      </c>
      <c r="CN35">
        <f t="array" ref="CN35">SUM(ABS(TRANSPOSE($BZ34:$CA34)-CJ$3:CJ$4)^$CI$8)</f>
        <v>10.392746913580247</v>
      </c>
      <c r="CO35" s="62">
        <f t="array" ref="CO35">SUM(ABS(TRANSPOSE($BZ34:$CA34)-CK$3:CK$4)^$CI$8)</f>
        <v>1.2252066115702478</v>
      </c>
      <c r="CP35" s="75">
        <f t="shared" si="10"/>
        <v>1.2252066115702478</v>
      </c>
      <c r="CS35">
        <v>1</v>
      </c>
      <c r="CT35">
        <v>29.43905817174516</v>
      </c>
      <c r="CZ35" s="61">
        <v>71.189058171745145</v>
      </c>
      <c r="DA35" t="str">
        <v/>
      </c>
      <c r="DB35" s="62">
        <v>10.960059171597633</v>
      </c>
      <c r="DD35" t="s">
        <v>281</v>
      </c>
      <c r="DE35">
        <f>SUM(DI28:DI30)</f>
        <v>25611.020587714236</v>
      </c>
      <c r="DF35">
        <f>DF36-DF34</f>
        <v>52</v>
      </c>
      <c r="DG35">
        <f>DE35/DF35</f>
        <v>492.51962668681222</v>
      </c>
      <c r="DN35" t="s">
        <v>283</v>
      </c>
      <c r="DR35" s="75">
        <v>0.05</v>
      </c>
      <c r="ES35" s="75">
        <v>1</v>
      </c>
      <c r="ET35" s="49" t="s">
        <v>188</v>
      </c>
      <c r="GM35" s="66"/>
      <c r="GN35" s="66" t="s">
        <v>235</v>
      </c>
      <c r="GO35" s="66" t="s">
        <v>236</v>
      </c>
      <c r="GP35" s="66" t="s">
        <v>237</v>
      </c>
      <c r="GQ35" s="66" t="s">
        <v>238</v>
      </c>
      <c r="GR35" s="66" t="s">
        <v>239</v>
      </c>
      <c r="GS35" s="66" t="s">
        <v>240</v>
      </c>
      <c r="GT35" s="66" t="s">
        <v>241</v>
      </c>
      <c r="GU35" s="66" t="s">
        <v>242</v>
      </c>
      <c r="GV35" s="66" t="s">
        <v>243</v>
      </c>
      <c r="GW35" s="66" t="s">
        <v>244</v>
      </c>
    </row>
    <row r="36" spans="22:205" x14ac:dyDescent="0.25">
      <c r="AE36" s="10">
        <v>7</v>
      </c>
      <c r="AF36" s="10">
        <v>2.5</v>
      </c>
      <c r="AG36" s="10">
        <v>5</v>
      </c>
      <c r="AI36">
        <v>3</v>
      </c>
      <c r="AL36">
        <f t="shared" si="7"/>
        <v>35</v>
      </c>
      <c r="AM36" s="75">
        <v>1</v>
      </c>
      <c r="AT36" s="61">
        <f t="array" ref="AT36">SUM(ABS(TRANSPOSE($AE36:$AG36)-AP$2:AP$4)^$AP$8)</f>
        <v>4.3337950138504144</v>
      </c>
      <c r="AU36">
        <f t="array" ref="AU36">SUM(ABS(TRANSPOSE($AE36:$AG36)-AQ$2:AQ$4)^$AP$8)</f>
        <v>547.54250000000002</v>
      </c>
      <c r="AV36" s="62">
        <f t="array" ref="AV36">SUM(ABS(TRANSPOSE($AE36:$AG36)-AR$2:AR$4)^$AP$8)</f>
        <v>116.21005917159766</v>
      </c>
      <c r="AW36" s="75">
        <f t="shared" si="2"/>
        <v>4.3337950138504144</v>
      </c>
      <c r="AY36">
        <v>4.3337950138504144</v>
      </c>
      <c r="AZ36">
        <v>547.54250000000002</v>
      </c>
      <c r="BA36">
        <v>116.21005917159766</v>
      </c>
      <c r="BB36">
        <v>4.3337950138504144</v>
      </c>
      <c r="BH36">
        <v>35</v>
      </c>
      <c r="BI36">
        <v>7</v>
      </c>
      <c r="BJ36">
        <v>2.5</v>
      </c>
      <c r="BK36">
        <v>5</v>
      </c>
      <c r="BM36" s="75">
        <v>1</v>
      </c>
      <c r="BO36">
        <v>1</v>
      </c>
      <c r="BP36">
        <v>4.3337950138504144</v>
      </c>
      <c r="BZ36" s="10">
        <v>2.5</v>
      </c>
      <c r="CA36" s="10">
        <v>5</v>
      </c>
      <c r="CC36">
        <v>3</v>
      </c>
      <c r="CE36">
        <f t="shared" si="11"/>
        <v>34</v>
      </c>
      <c r="CF36" s="75">
        <v>1</v>
      </c>
      <c r="CM36" s="61">
        <f t="array" ref="CM36">SUM(ABS(TRANSPOSE($BZ35:$CA35)-CI$3:CI$4)^$CI$8)</f>
        <v>9.0784023668639033</v>
      </c>
      <c r="CN36">
        <f t="array" ref="CN36">SUM(ABS(TRANSPOSE($BZ35:$CA35)-CJ$3:CJ$4)^$CI$8)</f>
        <v>16.670524691358025</v>
      </c>
      <c r="CO36" s="62">
        <f t="array" ref="CO36">SUM(ABS(TRANSPOSE($BZ35:$CA35)-CK$3:CK$4)^$CI$8)</f>
        <v>55.588842975206603</v>
      </c>
      <c r="CP36" s="75">
        <f t="shared" si="10"/>
        <v>9.0784023668639033</v>
      </c>
      <c r="CS36">
        <v>1</v>
      </c>
      <c r="CT36">
        <v>4.3337950138504144</v>
      </c>
      <c r="CZ36" s="61">
        <v>29.43905817174516</v>
      </c>
      <c r="DA36" t="str">
        <v/>
      </c>
      <c r="DB36" s="62">
        <v>32.363905325443788</v>
      </c>
      <c r="DD36" s="68" t="s">
        <v>211</v>
      </c>
      <c r="DE36" s="68">
        <f>DEVSQ(CZ25:DB50)</f>
        <v>27225.301035907731</v>
      </c>
      <c r="DF36" s="68">
        <f>COUNT(CZ25:DB50)-1</f>
        <v>54</v>
      </c>
      <c r="DG36" s="68">
        <f>DE36/DF36</f>
        <v>504.17224140569874</v>
      </c>
      <c r="DH36" s="68"/>
      <c r="DI36" s="68"/>
      <c r="DJ36" s="68"/>
      <c r="DK36" s="68"/>
      <c r="DL36" s="68"/>
      <c r="DN36" t="s">
        <v>224</v>
      </c>
      <c r="DR36" s="77" t="str">
        <f>IF(DR34&lt;DR35,"yes","no")</f>
        <v>no</v>
      </c>
      <c r="ES36" s="75">
        <v>2</v>
      </c>
      <c r="ET36" s="49" t="s">
        <v>164</v>
      </c>
      <c r="GM36">
        <f t="array" ref="GM36:GM38">TRANSPOSE(GC8:GE8)</f>
        <v>1</v>
      </c>
      <c r="GN36">
        <f>GT36+GU36</f>
        <v>0.99999999999999722</v>
      </c>
      <c r="GO36">
        <f t="array" ref="GO36:GO38">TRANSPOSE(GC31:GE31)</f>
        <v>0.36956521739130432</v>
      </c>
      <c r="GP36">
        <f>SUMPRODUCT((GC9:GC30/GC31-GF9:GF30)^2/GF9:GF30)</f>
        <v>1.5201845444059983</v>
      </c>
      <c r="GQ36">
        <f>(GO36*GP36)/GQ$39</f>
        <v>0.32661449292049916</v>
      </c>
      <c r="GR36">
        <f t="array" ref="GR36:GS38">[1]!CAColFactors(FW4:FY25)</f>
        <v>-1.0906416223151889</v>
      </c>
      <c r="GS36">
        <v>-0.57505251593196849</v>
      </c>
      <c r="GT36">
        <f>GR36^2/GP36</f>
        <v>0.78247022883073436</v>
      </c>
      <c r="GU36">
        <f>GS36^2/GP36</f>
        <v>0.21752977116926284</v>
      </c>
      <c r="GV36">
        <f>GO36*GR36^2/GI$9</f>
        <v>0.47761280409026419</v>
      </c>
      <c r="GW36">
        <f>GO36*GS36^2/GI$10</f>
        <v>0.15282197851842988</v>
      </c>
    </row>
    <row r="37" spans="22:205" x14ac:dyDescent="0.25">
      <c r="AE37" s="42">
        <v>-2</v>
      </c>
      <c r="AF37" s="42">
        <v>0</v>
      </c>
      <c r="AG37" s="42">
        <v>4</v>
      </c>
      <c r="AI37">
        <v>1</v>
      </c>
      <c r="AL37">
        <f t="shared" si="7"/>
        <v>36</v>
      </c>
      <c r="AM37" s="75">
        <v>3</v>
      </c>
      <c r="AT37" s="61">
        <f t="array" ref="AT37">SUM(ABS(TRANSPOSE($AE37:$AG37)-AP$2:AP$4)^$AP$8)</f>
        <v>84.294321329639885</v>
      </c>
      <c r="AU37">
        <f t="array" ref="AU37">SUM(ABS(TRANSPOSE($AE37:$AG37)-AQ$2:AQ$4)^$AP$8)</f>
        <v>225.94250000000005</v>
      </c>
      <c r="AV37" s="62">
        <f t="array" ref="AV37">SUM(ABS(TRANSPOSE($AE37:$AG37)-AR$2:AR$4)^$AP$8)</f>
        <v>7.9600591715976332</v>
      </c>
      <c r="AW37" s="75">
        <f t="shared" si="2"/>
        <v>7.9600591715976332</v>
      </c>
      <c r="AY37">
        <v>84.294321329639885</v>
      </c>
      <c r="AZ37">
        <v>225.94250000000005</v>
      </c>
      <c r="BA37">
        <v>7.9600591715976332</v>
      </c>
      <c r="BB37">
        <v>7.9600591715976332</v>
      </c>
      <c r="BH37">
        <v>36</v>
      </c>
      <c r="BI37">
        <v>-2</v>
      </c>
      <c r="BJ37">
        <v>0</v>
      </c>
      <c r="BK37">
        <v>4</v>
      </c>
      <c r="BM37" s="75">
        <v>3</v>
      </c>
      <c r="BO37">
        <v>3</v>
      </c>
      <c r="BP37">
        <v>7.9600591715976332</v>
      </c>
      <c r="BZ37" s="42">
        <v>0</v>
      </c>
      <c r="CA37" s="42">
        <v>4</v>
      </c>
      <c r="CC37">
        <v>1</v>
      </c>
      <c r="CE37">
        <f t="shared" si="11"/>
        <v>35</v>
      </c>
      <c r="CF37" s="75">
        <v>2</v>
      </c>
      <c r="CM37" s="61">
        <f t="array" ref="CM37">SUM(ABS(TRANSPOSE($BZ36:$CA36)-CI$3:CI$4)^$CI$8)</f>
        <v>17.616863905325442</v>
      </c>
      <c r="CN37">
        <f t="array" ref="CN37">SUM(ABS(TRANSPOSE($BZ36:$CA36)-CJ$3:CJ$4)^$CI$8)</f>
        <v>0.94830246913580263</v>
      </c>
      <c r="CO37" s="62">
        <f t="array" ref="CO37">SUM(ABS(TRANSPOSE($BZ36:$CA36)-CK$3:CK$4)^$CI$8)</f>
        <v>20.58884297520661</v>
      </c>
      <c r="CP37" s="75">
        <f t="shared" si="10"/>
        <v>0.94830246913580263</v>
      </c>
      <c r="CS37">
        <v>3</v>
      </c>
      <c r="CT37">
        <v>7.9600591715976332</v>
      </c>
      <c r="CZ37" s="61">
        <v>4.3337950138504144</v>
      </c>
      <c r="DA37" t="str">
        <v/>
      </c>
      <c r="DB37" s="62">
        <v>14.517751479289942</v>
      </c>
      <c r="ES37" s="75">
        <v>2</v>
      </c>
      <c r="ET37" s="49" t="s">
        <v>162</v>
      </c>
      <c r="GM37">
        <v>2</v>
      </c>
      <c r="GN37">
        <f t="shared" ref="GN37:GN38" si="62">GT37+GU37</f>
        <v>1.0000000000000018</v>
      </c>
      <c r="GO37">
        <v>0.39130434782608692</v>
      </c>
      <c r="GP37">
        <f>SUMPRODUCT((GD9:GD30/GD31-GF9:GF30)^2/GF9:GF30)</f>
        <v>1.247942386831276</v>
      </c>
      <c r="GQ37">
        <f t="shared" ref="GQ37:GQ38" si="63">(GO37*GP37)/GQ$39</f>
        <v>0.28389468295875958</v>
      </c>
      <c r="GR37">
        <v>0.17428862510234433</v>
      </c>
      <c r="GS37">
        <v>1.1034336690491244</v>
      </c>
      <c r="GT37">
        <f t="shared" ref="GT37:GT38" si="64">GR37^2/GP37</f>
        <v>2.4341287835567757E-2</v>
      </c>
      <c r="GU37">
        <f t="shared" ref="GU37:GU38" si="65">GS37^2/GP37</f>
        <v>0.97565871216443401</v>
      </c>
      <c r="GV37">
        <f t="shared" ref="GV37:GV38" si="66">GO37*GR37^2/GI$9</f>
        <v>1.2914378098216064E-2</v>
      </c>
      <c r="GW37">
        <f t="shared" ref="GW37:GW38" si="67">GO37*GS37^2/GI$10</f>
        <v>0.5957812740756977</v>
      </c>
    </row>
    <row r="38" spans="22:205" ht="15.75" thickBot="1" x14ac:dyDescent="0.3">
      <c r="V38" s="69"/>
      <c r="W38" s="69"/>
      <c r="X38" s="69"/>
      <c r="Y38" s="69"/>
      <c r="Z38" s="69"/>
      <c r="AA38" s="69"/>
      <c r="AB38" s="69"/>
      <c r="AC38" s="69"/>
      <c r="AD38" s="69"/>
      <c r="AE38" s="42">
        <v>-22</v>
      </c>
      <c r="AF38" s="42">
        <v>8</v>
      </c>
      <c r="AG38" s="42">
        <v>1</v>
      </c>
      <c r="AI38">
        <v>1</v>
      </c>
      <c r="AL38">
        <f t="shared" si="7"/>
        <v>37</v>
      </c>
      <c r="AM38" s="75">
        <v>2</v>
      </c>
      <c r="AT38" s="61">
        <f t="array" ref="AT38">SUM(ABS(TRANSPOSE($AE38:$AG38)-AP$2:AP$4)^$AP$8)</f>
        <v>820.97853185595568</v>
      </c>
      <c r="AU38">
        <f t="array" ref="AU38">SUM(ABS(TRANSPOSE($AE38:$AG38)-AQ$2:AQ$4)^$AP$8)</f>
        <v>45.942499999999988</v>
      </c>
      <c r="AV38" s="62">
        <f t="array" ref="AV38">SUM(ABS(TRANSPOSE($AE38:$AG38)-AR$2:AR$4)^$AP$8)</f>
        <v>375.49852071005915</v>
      </c>
      <c r="AW38" s="75">
        <f t="shared" si="2"/>
        <v>45.942499999999988</v>
      </c>
      <c r="AY38">
        <v>820.97853185595568</v>
      </c>
      <c r="AZ38">
        <v>45.942499999999988</v>
      </c>
      <c r="BA38">
        <v>375.49852071005915</v>
      </c>
      <c r="BB38">
        <v>45.942499999999988</v>
      </c>
      <c r="BH38">
        <v>37</v>
      </c>
      <c r="BI38">
        <v>-22</v>
      </c>
      <c r="BJ38">
        <v>8</v>
      </c>
      <c r="BK38">
        <v>1</v>
      </c>
      <c r="BM38" s="75">
        <v>2</v>
      </c>
      <c r="BO38">
        <v>2</v>
      </c>
      <c r="BP38">
        <v>45.942499999999988</v>
      </c>
      <c r="BZ38" s="42">
        <v>8</v>
      </c>
      <c r="CA38" s="42">
        <v>1</v>
      </c>
      <c r="CC38">
        <v>1</v>
      </c>
      <c r="CE38">
        <f t="shared" si="11"/>
        <v>36</v>
      </c>
      <c r="CF38" s="75">
        <v>2</v>
      </c>
      <c r="CM38" s="61">
        <f t="array" ref="CM38">SUM(ABS(TRANSPOSE($BZ37:$CA37)-CI$3:CI$4)^$CI$8)</f>
        <v>39.674556213017752</v>
      </c>
      <c r="CN38">
        <f t="array" ref="CN38">SUM(ABS(TRANSPOSE($BZ37:$CA37)-CJ$3:CJ$4)^$CI$8)</f>
        <v>3.4483024691358022</v>
      </c>
      <c r="CO38" s="62">
        <f t="array" ref="CO38">SUM(ABS(TRANSPOSE($BZ37:$CA37)-CK$3:CK$4)^$CI$8)</f>
        <v>5.8842975206611552</v>
      </c>
      <c r="CP38" s="75">
        <f t="shared" si="10"/>
        <v>3.4483024691358022</v>
      </c>
      <c r="CS38">
        <v>2</v>
      </c>
      <c r="CT38">
        <v>45.942499999999988</v>
      </c>
      <c r="CZ38" s="61">
        <v>58.33379501385042</v>
      </c>
      <c r="DA38" t="str">
        <v/>
      </c>
      <c r="DB38" s="62">
        <v>15.498520710059175</v>
      </c>
      <c r="DD38" t="s">
        <v>317</v>
      </c>
      <c r="ES38" s="75">
        <v>1</v>
      </c>
      <c r="ET38" s="49" t="s">
        <v>155</v>
      </c>
      <c r="GM38" s="68">
        <v>3</v>
      </c>
      <c r="GN38" s="68">
        <f t="shared" si="62"/>
        <v>1.0000000000000018</v>
      </c>
      <c r="GO38" s="68">
        <v>0.2391304347826087</v>
      </c>
      <c r="GP38" s="68">
        <f>SUMPRODUCT((GE9:GE30/GE31-GF9:GF30)^2/GF9:GF30)</f>
        <v>2.8016528925619828</v>
      </c>
      <c r="GQ38" s="68">
        <f t="shared" si="63"/>
        <v>0.38949082412074132</v>
      </c>
      <c r="GR38" s="68">
        <v>1.4003374843196481</v>
      </c>
      <c r="GS38" s="68">
        <v>-0.91690120654916085</v>
      </c>
      <c r="GT38" s="68">
        <f t="shared" si="64"/>
        <v>0.69992434651584789</v>
      </c>
      <c r="GU38" s="68">
        <f t="shared" si="65"/>
        <v>0.30007565348415388</v>
      </c>
      <c r="GV38" s="68">
        <f t="shared" si="66"/>
        <v>0.50947281781151987</v>
      </c>
      <c r="GW38" s="68">
        <f t="shared" si="67"/>
        <v>0.25139674740587242</v>
      </c>
    </row>
    <row r="39" spans="22:205" ht="15.75" thickTop="1" x14ac:dyDescent="0.25">
      <c r="AE39" s="42">
        <v>-2</v>
      </c>
      <c r="AF39" s="42">
        <v>1</v>
      </c>
      <c r="AG39" s="42">
        <v>4</v>
      </c>
      <c r="AI39">
        <v>1</v>
      </c>
      <c r="AL39">
        <f t="shared" si="7"/>
        <v>38</v>
      </c>
      <c r="AM39" s="75">
        <v>3</v>
      </c>
      <c r="AT39" s="61">
        <f t="array" ref="AT39">SUM(ABS(TRANSPOSE($AE39:$AG39)-AP$2:AP$4)^$AP$8)</f>
        <v>77.18905817174516</v>
      </c>
      <c r="AU39">
        <f t="array" ref="AU39">SUM(ABS(TRANSPOSE($AE39:$AG39)-AQ$2:AQ$4)^$AP$8)</f>
        <v>217.24250000000004</v>
      </c>
      <c r="AV39" s="62">
        <f t="array" ref="AV39">SUM(ABS(TRANSPOSE($AE39:$AG39)-AR$2:AR$4)^$AP$8)</f>
        <v>4.4985207100591724</v>
      </c>
      <c r="AW39" s="75">
        <f t="shared" si="2"/>
        <v>4.4985207100591724</v>
      </c>
      <c r="AY39">
        <v>77.18905817174516</v>
      </c>
      <c r="AZ39">
        <v>217.24250000000004</v>
      </c>
      <c r="BA39">
        <v>4.4985207100591724</v>
      </c>
      <c r="BB39">
        <v>4.4985207100591724</v>
      </c>
      <c r="BH39">
        <v>38</v>
      </c>
      <c r="BI39">
        <v>-2</v>
      </c>
      <c r="BJ39">
        <v>1</v>
      </c>
      <c r="BK39">
        <v>4</v>
      </c>
      <c r="BM39" s="75">
        <v>3</v>
      </c>
      <c r="BO39">
        <v>3</v>
      </c>
      <c r="BP39">
        <v>4.4985207100591724</v>
      </c>
      <c r="BZ39" s="42">
        <v>1</v>
      </c>
      <c r="CA39" s="42">
        <v>4</v>
      </c>
      <c r="CC39">
        <v>1</v>
      </c>
      <c r="CE39">
        <f t="shared" si="11"/>
        <v>37</v>
      </c>
      <c r="CF39" s="75">
        <v>1</v>
      </c>
      <c r="CM39" s="61">
        <f t="array" ref="CM39">SUM(ABS(TRANSPOSE($BZ38:$CA38)-CI$3:CI$4)^$CI$8)</f>
        <v>7.4437869822485219</v>
      </c>
      <c r="CN39">
        <f t="array" ref="CN39">SUM(ABS(TRANSPOSE($BZ38:$CA38)-CJ$3:CJ$4)^$CI$8)</f>
        <v>58.337191358024697</v>
      </c>
      <c r="CO39" s="62">
        <f t="array" ref="CO39">SUM(ABS(TRANSPOSE($BZ38:$CA38)-CK$3:CK$4)^$CI$8)</f>
        <v>73.429752066115697</v>
      </c>
      <c r="CP39" s="75">
        <f t="shared" si="10"/>
        <v>7.4437869822485219</v>
      </c>
      <c r="CS39">
        <v>3</v>
      </c>
      <c r="CT39">
        <v>4.4985207100591724</v>
      </c>
      <c r="CZ39" s="61">
        <v>11.439058171745151</v>
      </c>
      <c r="DA39" t="str">
        <v/>
      </c>
      <c r="DB39" s="62">
        <v>32.517751479289942</v>
      </c>
      <c r="DD39" s="66" t="s">
        <v>268</v>
      </c>
      <c r="DE39" s="66" t="s">
        <v>318</v>
      </c>
      <c r="DF39" s="66" t="s">
        <v>218</v>
      </c>
      <c r="DG39" s="66" t="s">
        <v>319</v>
      </c>
      <c r="DH39" s="66" t="s">
        <v>320</v>
      </c>
      <c r="DI39" s="66" t="s">
        <v>271</v>
      </c>
      <c r="DJ39" s="66" t="s">
        <v>272</v>
      </c>
      <c r="ES39" s="75">
        <v>2</v>
      </c>
      <c r="ET39" s="49" t="s">
        <v>162</v>
      </c>
      <c r="GQ39">
        <f>SUMPRODUCT(GO36:GO57,GP36:GP57)</f>
        <v>1.7200930877401466</v>
      </c>
    </row>
    <row r="40" spans="22:205" x14ac:dyDescent="0.25">
      <c r="AE40" s="42">
        <v>-7</v>
      </c>
      <c r="AF40" s="42">
        <v>4.5</v>
      </c>
      <c r="AG40" s="42">
        <v>2</v>
      </c>
      <c r="AI40">
        <v>3</v>
      </c>
      <c r="AL40">
        <f t="shared" si="7"/>
        <v>39</v>
      </c>
      <c r="AM40" s="75">
        <v>3</v>
      </c>
      <c r="AT40" s="61">
        <f t="array" ref="AT40">SUM(ABS(TRANSPOSE($AE40:$AG40)-AP$2:AP$4)^$AP$8)</f>
        <v>178.80747922437672</v>
      </c>
      <c r="AU40">
        <f t="array" ref="AU40">SUM(ABS(TRANSPOSE($AE40:$AG40)-AQ$2:AQ$4)^$AP$8)</f>
        <v>82.942500000000038</v>
      </c>
      <c r="AV40" s="62">
        <f t="array" ref="AV40">SUM(ABS(TRANSPOSE($AE40:$AG40)-AR$2:AR$4)^$AP$8)</f>
        <v>18.825443786982248</v>
      </c>
      <c r="AW40" s="75">
        <f t="shared" si="2"/>
        <v>18.825443786982248</v>
      </c>
      <c r="AY40">
        <v>178.80747922437672</v>
      </c>
      <c r="AZ40">
        <v>82.942500000000038</v>
      </c>
      <c r="BA40">
        <v>18.825443786982248</v>
      </c>
      <c r="BB40">
        <v>18.825443786982248</v>
      </c>
      <c r="BH40">
        <v>39</v>
      </c>
      <c r="BI40">
        <v>-7</v>
      </c>
      <c r="BJ40">
        <v>4.5</v>
      </c>
      <c r="BK40">
        <v>2</v>
      </c>
      <c r="BM40" s="75">
        <v>3</v>
      </c>
      <c r="BO40">
        <v>3</v>
      </c>
      <c r="BP40">
        <v>18.825443786982248</v>
      </c>
      <c r="BZ40" s="42">
        <v>4.5</v>
      </c>
      <c r="CA40" s="42">
        <v>2</v>
      </c>
      <c r="CC40">
        <v>3</v>
      </c>
      <c r="CE40">
        <f t="shared" si="11"/>
        <v>38</v>
      </c>
      <c r="CF40" s="75">
        <v>2</v>
      </c>
      <c r="CM40" s="61">
        <f t="array" ref="CM40">SUM(ABS(TRANSPOSE($BZ39:$CA39)-CI$3:CI$4)^$CI$8)</f>
        <v>28.213017751479292</v>
      </c>
      <c r="CN40">
        <f t="array" ref="CN40">SUM(ABS(TRANSPOSE($BZ39:$CA39)-CJ$3:CJ$4)^$CI$8)</f>
        <v>1.3927469135802464</v>
      </c>
      <c r="CO40" s="62">
        <f t="array" ref="CO40">SUM(ABS(TRANSPOSE($BZ39:$CA39)-CK$3:CK$4)^$CI$8)</f>
        <v>7.975206611570246</v>
      </c>
      <c r="CP40" s="75">
        <f t="shared" si="10"/>
        <v>1.3927469135802464</v>
      </c>
      <c r="CS40">
        <v>3</v>
      </c>
      <c r="CT40">
        <v>18.825443786982248</v>
      </c>
      <c r="CZ40" s="61">
        <v>26.294321329639889</v>
      </c>
      <c r="DA40" t="str">
        <v/>
      </c>
      <c r="DB40" s="62">
        <v>27.594674556213018</v>
      </c>
      <c r="DD40" t="s">
        <v>265</v>
      </c>
      <c r="DE40">
        <f>(DG34-DG35)/DE28</f>
        <v>16.558978811049212</v>
      </c>
      <c r="DF40">
        <f>(DE40*DE28)^2/(DG34^2/DF34-DG35^2/DF35)</f>
        <v>0.30829809935620561</v>
      </c>
      <c r="DG40">
        <f>[1]!CHISQ_INV(DJ26/2,DF40)</f>
        <v>5.1136565356022218E-11</v>
      </c>
      <c r="DH40">
        <f>[1]!CHISQ_INV(1-DJ26/2,DF40)</f>
        <v>2.5880280067014354</v>
      </c>
      <c r="DI40">
        <f>DE40*DF40/DH40</f>
        <v>1.9725836356898039</v>
      </c>
      <c r="DJ40">
        <f>DE40*DF40/DG40</f>
        <v>99832705993.910461</v>
      </c>
      <c r="ES40" s="75">
        <v>1</v>
      </c>
      <c r="ET40" s="49" t="s">
        <v>155</v>
      </c>
    </row>
    <row r="41" spans="22:205" x14ac:dyDescent="0.25">
      <c r="AE41" s="42">
        <v>-16</v>
      </c>
      <c r="AF41" s="42">
        <v>5</v>
      </c>
      <c r="AG41" s="42">
        <v>2</v>
      </c>
      <c r="AI41">
        <v>2</v>
      </c>
      <c r="AL41">
        <f t="shared" si="7"/>
        <v>40</v>
      </c>
      <c r="AM41" s="75">
        <v>2</v>
      </c>
      <c r="AT41" s="61">
        <f t="array" ref="AT41">SUM(ABS(TRANSPOSE($AE41:$AG41)-AP$2:AP$4)^$AP$8)</f>
        <v>498.7680055401662</v>
      </c>
      <c r="AU41">
        <f t="array" ref="AU41">SUM(ABS(TRANSPOSE($AE41:$AG41)-AQ$2:AQ$4)^$AP$8)</f>
        <v>4.2500000000000406E-2</v>
      </c>
      <c r="AV41" s="62">
        <f t="array" ref="AV41">SUM(ABS(TRANSPOSE($AE41:$AG41)-AR$2:AR$4)^$AP$8)</f>
        <v>161.88313609467451</v>
      </c>
      <c r="AW41" s="75">
        <f t="shared" si="2"/>
        <v>4.2500000000000406E-2</v>
      </c>
      <c r="AY41">
        <v>498.7680055401662</v>
      </c>
      <c r="AZ41">
        <v>4.2500000000000406E-2</v>
      </c>
      <c r="BA41">
        <v>161.88313609467451</v>
      </c>
      <c r="BB41">
        <v>4.2500000000000406E-2</v>
      </c>
      <c r="BH41">
        <v>40</v>
      </c>
      <c r="BI41">
        <v>-16</v>
      </c>
      <c r="BJ41">
        <v>5</v>
      </c>
      <c r="BK41">
        <v>2</v>
      </c>
      <c r="BM41" s="75">
        <v>2</v>
      </c>
      <c r="BO41">
        <v>2</v>
      </c>
      <c r="BP41">
        <v>4.2500000000000406E-2</v>
      </c>
      <c r="BZ41" s="42">
        <v>5</v>
      </c>
      <c r="CA41" s="42">
        <v>2</v>
      </c>
      <c r="CC41">
        <v>2</v>
      </c>
      <c r="CE41">
        <f t="shared" si="11"/>
        <v>39</v>
      </c>
      <c r="CF41" s="75">
        <v>1</v>
      </c>
      <c r="CM41" s="61">
        <f t="array" ref="CM41">SUM(ABS(TRANSPOSE($BZ40:$CA40)-CI$3:CI$4)^$CI$8)</f>
        <v>4.1553254437869827</v>
      </c>
      <c r="CN41">
        <f t="array" ref="CN41">SUM(ABS(TRANSPOSE($BZ40:$CA40)-CJ$3:CJ$4)^$CI$8)</f>
        <v>18.170524691358025</v>
      </c>
      <c r="CO41" s="62">
        <f t="array" ref="CO41">SUM(ABS(TRANSPOSE($BZ40:$CA40)-CK$3:CK$4)^$CI$8)</f>
        <v>25.588842975206607</v>
      </c>
      <c r="CP41" s="75">
        <f t="shared" si="10"/>
        <v>4.1553254437869827</v>
      </c>
      <c r="CS41">
        <v>2</v>
      </c>
      <c r="CT41">
        <v>4.2500000000000406E-2</v>
      </c>
      <c r="CZ41" s="61">
        <v>37.241689750692515</v>
      </c>
      <c r="DA41" t="str">
        <v/>
      </c>
      <c r="DB41" s="62">
        <v>7.4408284023668632</v>
      </c>
      <c r="DD41" s="68" t="s">
        <v>260</v>
      </c>
      <c r="DE41" s="68">
        <f>DG35</f>
        <v>492.51962668681222</v>
      </c>
      <c r="DF41" s="68">
        <f>DF35</f>
        <v>52</v>
      </c>
      <c r="DG41" s="68">
        <f>[1]!CHISQ_INV(DJ26/2,DF41)</f>
        <v>33.96812643119268</v>
      </c>
      <c r="DH41" s="68">
        <f>[1]!CHISQ_INV(1-DJ26/2,DF41)</f>
        <v>73.809863395060745</v>
      </c>
      <c r="DI41" s="68">
        <f>DE41*DF41/DH41</f>
        <v>346.98642443806625</v>
      </c>
      <c r="DJ41" s="68">
        <f>DE41*DF41/DG41</f>
        <v>753.97212853623341</v>
      </c>
      <c r="ES41" s="75">
        <v>1</v>
      </c>
      <c r="ET41" s="49" t="s">
        <v>155</v>
      </c>
    </row>
    <row r="42" spans="22:205" ht="15.75" thickBot="1" x14ac:dyDescent="0.3">
      <c r="AE42" s="42">
        <v>-6</v>
      </c>
      <c r="AF42" s="42">
        <v>-2</v>
      </c>
      <c r="AG42" s="42">
        <v>4</v>
      </c>
      <c r="AI42">
        <v>3</v>
      </c>
      <c r="AL42">
        <f t="shared" si="7"/>
        <v>41</v>
      </c>
      <c r="AM42" s="75">
        <v>3</v>
      </c>
      <c r="AT42" s="61">
        <f t="array" ref="AT42">SUM(ABS(TRANSPOSE($AE42:$AG42)-AP$2:AP$4)^$AP$8)</f>
        <v>186.39958448753461</v>
      </c>
      <c r="AU42">
        <f t="array" ref="AU42">SUM(ABS(TRANSPOSE($AE42:$AG42)-AQ$2:AQ$4)^$AP$8)</f>
        <v>152.54250000000005</v>
      </c>
      <c r="AV42" s="62">
        <f t="array" ref="AV42">SUM(ABS(TRANSPOSE($AE42:$AG42)-AR$2:AR$4)^$AP$8)</f>
        <v>23.344674556213018</v>
      </c>
      <c r="AW42" s="75">
        <f t="shared" si="2"/>
        <v>23.344674556213018</v>
      </c>
      <c r="AY42">
        <v>186.39958448753461</v>
      </c>
      <c r="AZ42">
        <v>152.54250000000005</v>
      </c>
      <c r="BA42">
        <v>23.344674556213018</v>
      </c>
      <c r="BB42">
        <v>23.344674556213018</v>
      </c>
      <c r="BH42">
        <v>41</v>
      </c>
      <c r="BI42">
        <v>-6</v>
      </c>
      <c r="BJ42">
        <v>-2</v>
      </c>
      <c r="BK42">
        <v>4</v>
      </c>
      <c r="BM42" s="75">
        <v>3</v>
      </c>
      <c r="BO42">
        <v>3</v>
      </c>
      <c r="BP42">
        <v>23.344674556213018</v>
      </c>
      <c r="BZ42" s="42">
        <v>-2</v>
      </c>
      <c r="CA42" s="42">
        <v>4</v>
      </c>
      <c r="CC42">
        <v>3</v>
      </c>
      <c r="CE42">
        <f t="shared" si="11"/>
        <v>40</v>
      </c>
      <c r="CF42" s="75">
        <v>1</v>
      </c>
      <c r="CM42" s="61">
        <f t="array" ref="CM42">SUM(ABS(TRANSPOSE($BZ41:$CA41)-CI$3:CI$4)^$CI$8)</f>
        <v>2.6745562130177518</v>
      </c>
      <c r="CN42">
        <f t="array" ref="CN42">SUM(ABS(TRANSPOSE($BZ41:$CA41)-CJ$3:CJ$4)^$CI$8)</f>
        <v>21.392746913580247</v>
      </c>
      <c r="CO42" s="62">
        <f t="array" ref="CO42">SUM(ABS(TRANSPOSE($BZ41:$CA41)-CK$3:CK$4)^$CI$8)</f>
        <v>30.88429752066115</v>
      </c>
      <c r="CP42" s="75">
        <f t="shared" si="10"/>
        <v>2.6745562130177518</v>
      </c>
      <c r="CS42">
        <v>3</v>
      </c>
      <c r="CT42">
        <v>23.344674556213018</v>
      </c>
      <c r="CZ42" s="61">
        <v>11.399584487534625</v>
      </c>
      <c r="DA42" t="str">
        <v/>
      </c>
      <c r="DB42" s="62">
        <v>7.9600591715976332</v>
      </c>
      <c r="ES42" s="75">
        <v>3</v>
      </c>
      <c r="ET42" s="49" t="s">
        <v>167</v>
      </c>
    </row>
    <row r="43" spans="22:205" ht="15.75" thickTop="1" x14ac:dyDescent="0.25">
      <c r="AE43" s="42">
        <v>-1</v>
      </c>
      <c r="AF43" s="42">
        <v>7.5</v>
      </c>
      <c r="AG43" s="42">
        <v>1</v>
      </c>
      <c r="AI43">
        <v>1</v>
      </c>
      <c r="AL43">
        <f t="shared" si="7"/>
        <v>42</v>
      </c>
      <c r="AM43" s="75">
        <v>3</v>
      </c>
      <c r="AT43" s="61">
        <f t="array" ref="AT43">SUM(ABS(TRANSPOSE($AE43:$AG43)-AP$2:AP$4)^$AP$8)</f>
        <v>72.33379501385042</v>
      </c>
      <c r="AU43">
        <f t="array" ref="AU43">SUM(ABS(TRANSPOSE($AE43:$AG43)-AQ$2:AQ$4)^$AP$8)</f>
        <v>236.24250000000006</v>
      </c>
      <c r="AV43" s="62">
        <f t="array" ref="AV43">SUM(ABS(TRANSPOSE($AE43:$AG43)-AR$2:AR$4)^$AP$8)</f>
        <v>42.056213017751482</v>
      </c>
      <c r="AW43" s="75">
        <f t="shared" si="2"/>
        <v>42.056213017751482</v>
      </c>
      <c r="AY43">
        <v>72.33379501385042</v>
      </c>
      <c r="AZ43">
        <v>236.24250000000006</v>
      </c>
      <c r="BA43">
        <v>42.056213017751482</v>
      </c>
      <c r="BB43">
        <v>42.056213017751482</v>
      </c>
      <c r="BH43">
        <v>42</v>
      </c>
      <c r="BI43">
        <v>-1</v>
      </c>
      <c r="BJ43">
        <v>7.5</v>
      </c>
      <c r="BK43">
        <v>1</v>
      </c>
      <c r="BM43" s="75">
        <v>3</v>
      </c>
      <c r="BO43">
        <v>3</v>
      </c>
      <c r="BP43">
        <v>42.056213017751482</v>
      </c>
      <c r="BZ43" s="42">
        <v>7.5</v>
      </c>
      <c r="CA43" s="42">
        <v>1</v>
      </c>
      <c r="CC43">
        <v>1</v>
      </c>
      <c r="CE43">
        <f t="shared" si="11"/>
        <v>41</v>
      </c>
      <c r="CF43" s="75">
        <v>3</v>
      </c>
      <c r="CM43" s="61">
        <f t="array" ref="CM43">SUM(ABS(TRANSPOSE($BZ42:$CA42)-CI$3:CI$4)^$CI$8)</f>
        <v>68.597633136094657</v>
      </c>
      <c r="CN43">
        <f t="array" ref="CN43">SUM(ABS(TRANSPOSE($BZ42:$CA42)-CJ$3:CJ$4)^$CI$8)</f>
        <v>13.559413580246913</v>
      </c>
      <c r="CO43" s="62">
        <f t="array" ref="CO43">SUM(ABS(TRANSPOSE($BZ42:$CA42)-CK$3:CK$4)^$CI$8)</f>
        <v>7.7024793388429735</v>
      </c>
      <c r="CP43" s="75">
        <f t="shared" si="10"/>
        <v>7.7024793388429735</v>
      </c>
      <c r="CS43">
        <v>3</v>
      </c>
      <c r="CT43">
        <v>42.056213017751482</v>
      </c>
      <c r="CZ43" s="61">
        <v>44.544321329639899</v>
      </c>
      <c r="DA43" t="str">
        <v/>
      </c>
      <c r="DB43" s="62">
        <v>4.4985207100591724</v>
      </c>
      <c r="DD43" s="66"/>
      <c r="DE43" s="66" t="s">
        <v>318</v>
      </c>
      <c r="DF43" s="66" t="s">
        <v>268</v>
      </c>
      <c r="DG43" s="66" t="s">
        <v>312</v>
      </c>
      <c r="DH43" s="66" t="s">
        <v>271</v>
      </c>
      <c r="DI43" s="66" t="s">
        <v>272</v>
      </c>
      <c r="ES43" s="75">
        <v>1</v>
      </c>
      <c r="ET43" s="49" t="s">
        <v>155</v>
      </c>
    </row>
    <row r="44" spans="22:205" x14ac:dyDescent="0.25">
      <c r="AE44" s="42">
        <v>-2</v>
      </c>
      <c r="AF44" s="42">
        <v>5</v>
      </c>
      <c r="AG44" s="42">
        <v>4</v>
      </c>
      <c r="AI44">
        <v>2</v>
      </c>
      <c r="AL44">
        <f t="shared" si="7"/>
        <v>43</v>
      </c>
      <c r="AM44" s="75">
        <v>3</v>
      </c>
      <c r="AT44" s="61">
        <f t="array" ref="AT44">SUM(ABS(TRANSPOSE($AE44:$AG44)-AP$2:AP$4)^$AP$8)</f>
        <v>68.7680055401662</v>
      </c>
      <c r="AU44">
        <f t="array" ref="AU44">SUM(ABS(TRANSPOSE($AE44:$AG44)-AQ$2:AQ$4)^$AP$8)</f>
        <v>202.44250000000005</v>
      </c>
      <c r="AV44" s="62">
        <f t="array" ref="AV44">SUM(ABS(TRANSPOSE($AE44:$AG44)-AR$2:AR$4)^$AP$8)</f>
        <v>10.652366863905325</v>
      </c>
      <c r="AW44" s="75">
        <f t="shared" si="2"/>
        <v>10.652366863905325</v>
      </c>
      <c r="AY44">
        <v>68.7680055401662</v>
      </c>
      <c r="AZ44">
        <v>202.44250000000005</v>
      </c>
      <c r="BA44">
        <v>10.652366863905325</v>
      </c>
      <c r="BB44">
        <v>10.652366863905325</v>
      </c>
      <c r="BH44">
        <v>43</v>
      </c>
      <c r="BI44">
        <v>-2</v>
      </c>
      <c r="BJ44">
        <v>5</v>
      </c>
      <c r="BK44">
        <v>4</v>
      </c>
      <c r="BM44" s="75">
        <v>3</v>
      </c>
      <c r="BO44">
        <v>3</v>
      </c>
      <c r="BP44">
        <v>10.652366863905325</v>
      </c>
      <c r="BZ44" s="42">
        <v>5</v>
      </c>
      <c r="CA44" s="42">
        <v>4</v>
      </c>
      <c r="CC44">
        <v>2</v>
      </c>
      <c r="CE44">
        <f t="shared" si="11"/>
        <v>42</v>
      </c>
      <c r="CF44" s="75">
        <v>1</v>
      </c>
      <c r="CM44" s="61">
        <f t="array" ref="CM44">SUM(ABS(TRANSPOSE($BZ43:$CA43)-CI$3:CI$4)^$CI$8)</f>
        <v>5.9245562130177518</v>
      </c>
      <c r="CN44">
        <f t="array" ref="CN44">SUM(ABS(TRANSPOSE($BZ43:$CA43)-CJ$3:CJ$4)^$CI$8)</f>
        <v>52.114969135802468</v>
      </c>
      <c r="CO44" s="62">
        <f t="array" ref="CO44">SUM(ABS(TRANSPOSE($BZ43:$CA43)-CK$3:CK$4)^$CI$8)</f>
        <v>65.13429752066115</v>
      </c>
      <c r="CP44" s="75">
        <f t="shared" si="10"/>
        <v>5.9245562130177518</v>
      </c>
      <c r="CS44">
        <v>3</v>
      </c>
      <c r="CT44">
        <v>10.652366863905325</v>
      </c>
      <c r="CZ44" s="61" t="str">
        <v/>
      </c>
      <c r="DA44" t="str">
        <v/>
      </c>
      <c r="DB44" s="62">
        <v>18.825443786982248</v>
      </c>
      <c r="DD44" s="78" t="s">
        <v>267</v>
      </c>
      <c r="DE44" s="78">
        <f>AVERAGE(CZ25:DB50)</f>
        <v>25.791297386823704</v>
      </c>
      <c r="DF44" s="78">
        <f>DG34/SUM(DE28:DE30)</f>
        <v>14.675276801759042</v>
      </c>
      <c r="DG44" s="78">
        <f>_xlfn.T.INV.2T(DJ26,DF34)</f>
        <v>4.3026527297494637</v>
      </c>
      <c r="DH44" s="78">
        <f>DE44-SQRT(DF44)*DG44</f>
        <v>9.3085559459430698</v>
      </c>
      <c r="DI44" s="78">
        <f>DE44+SQRT(DF44)*DG44</f>
        <v>42.274038827704338</v>
      </c>
      <c r="ES44" s="75">
        <v>1</v>
      </c>
      <c r="ET44" s="49" t="s">
        <v>155</v>
      </c>
    </row>
    <row r="45" spans="22:205" x14ac:dyDescent="0.25">
      <c r="AE45" s="42">
        <v>-7</v>
      </c>
      <c r="AF45" s="42">
        <v>0.5</v>
      </c>
      <c r="AG45" s="42">
        <v>5</v>
      </c>
      <c r="AI45">
        <v>2</v>
      </c>
      <c r="AL45">
        <f t="shared" si="7"/>
        <v>44</v>
      </c>
      <c r="AM45" s="75">
        <v>3</v>
      </c>
      <c r="AT45" s="61">
        <f t="array" ref="AT45">SUM(ABS(TRANSPOSE($AE45:$AG45)-AP$2:AP$4)^$AP$8)</f>
        <v>189.17590027700831</v>
      </c>
      <c r="AU45">
        <f t="array" ref="AU45">SUM(ABS(TRANSPOSE($AE45:$AG45)-AQ$2:AQ$4)^$AP$8)</f>
        <v>110.14250000000003</v>
      </c>
      <c r="AV45" s="62">
        <f t="array" ref="AV45">SUM(ABS(TRANSPOSE($AE45:$AG45)-AR$2:AR$4)^$AP$8)</f>
        <v>15.748520710059172</v>
      </c>
      <c r="AW45" s="75">
        <f t="shared" si="2"/>
        <v>15.748520710059172</v>
      </c>
      <c r="AY45">
        <v>189.17590027700831</v>
      </c>
      <c r="AZ45">
        <v>110.14250000000003</v>
      </c>
      <c r="BA45">
        <v>15.748520710059172</v>
      </c>
      <c r="BB45">
        <v>15.748520710059172</v>
      </c>
      <c r="BH45">
        <v>44</v>
      </c>
      <c r="BI45">
        <v>-7</v>
      </c>
      <c r="BJ45">
        <v>0.5</v>
      </c>
      <c r="BK45">
        <v>5</v>
      </c>
      <c r="BM45" s="75">
        <v>3</v>
      </c>
      <c r="BO45">
        <v>3</v>
      </c>
      <c r="BP45">
        <v>15.748520710059172</v>
      </c>
      <c r="BZ45" s="42">
        <v>0.5</v>
      </c>
      <c r="CA45" s="42">
        <v>5</v>
      </c>
      <c r="CC45">
        <v>2</v>
      </c>
      <c r="CE45">
        <f t="shared" si="11"/>
        <v>43</v>
      </c>
      <c r="CF45" s="75">
        <v>1</v>
      </c>
      <c r="CM45" s="61">
        <f t="array" ref="CM45">SUM(ABS(TRANSPOSE($BZ44:$CA44)-CI$3:CI$4)^$CI$8)</f>
        <v>2.3668639053254434</v>
      </c>
      <c r="CN45">
        <f t="array" ref="CN45">SUM(ABS(TRANSPOSE($BZ44:$CA44)-CJ$3:CJ$4)^$CI$8)</f>
        <v>13.170524691358025</v>
      </c>
      <c r="CO45" s="62">
        <f t="array" ref="CO45">SUM(ABS(TRANSPOSE($BZ44:$CA44)-CK$3:CK$4)^$CI$8)</f>
        <v>36.338842975206603</v>
      </c>
      <c r="CP45" s="75">
        <f t="shared" si="10"/>
        <v>2.3668639053254434</v>
      </c>
      <c r="CS45">
        <v>3</v>
      </c>
      <c r="CT45">
        <v>15.748520710059172</v>
      </c>
      <c r="CZ45" s="61" t="str">
        <v/>
      </c>
      <c r="DA45" t="str">
        <v/>
      </c>
      <c r="DB45" s="62">
        <v>23.344674556213018</v>
      </c>
      <c r="ES45" s="75">
        <v>2</v>
      </c>
      <c r="ET45" s="49" t="s">
        <v>162</v>
      </c>
    </row>
    <row r="46" spans="22:205" x14ac:dyDescent="0.25">
      <c r="AE46" s="42">
        <v>13</v>
      </c>
      <c r="AF46" s="42">
        <v>7.5</v>
      </c>
      <c r="AG46" s="42">
        <v>3</v>
      </c>
      <c r="AI46">
        <v>2</v>
      </c>
      <c r="AL46">
        <f t="shared" si="7"/>
        <v>45</v>
      </c>
      <c r="AM46" s="75">
        <v>1</v>
      </c>
      <c r="AT46" s="61">
        <f t="array" ref="AT46">SUM(ABS(TRANSPOSE($AE46:$AG46)-AP$2:AP$4)^$AP$8)</f>
        <v>58.33379501385042</v>
      </c>
      <c r="AU46">
        <f t="array" ref="AU46">SUM(ABS(TRANSPOSE($AE46:$AG46)-AQ$2:AQ$4)^$AP$8)</f>
        <v>854.64250000000004</v>
      </c>
      <c r="AV46" s="62">
        <f t="array" ref="AV46">SUM(ABS(TRANSPOSE($AE46:$AG46)-AR$2:AR$4)^$AP$8)</f>
        <v>306.82544378698225</v>
      </c>
      <c r="AW46" s="75">
        <f t="shared" si="2"/>
        <v>58.33379501385042</v>
      </c>
      <c r="AY46">
        <v>58.33379501385042</v>
      </c>
      <c r="AZ46">
        <v>854.64250000000004</v>
      </c>
      <c r="BA46">
        <v>306.82544378698225</v>
      </c>
      <c r="BB46">
        <v>58.33379501385042</v>
      </c>
      <c r="BH46">
        <v>45</v>
      </c>
      <c r="BI46">
        <v>13</v>
      </c>
      <c r="BJ46">
        <v>7.5</v>
      </c>
      <c r="BK46">
        <v>3</v>
      </c>
      <c r="BM46" s="75">
        <v>1</v>
      </c>
      <c r="BO46">
        <v>1</v>
      </c>
      <c r="BP46">
        <v>58.33379501385042</v>
      </c>
      <c r="BZ46" s="42">
        <v>7.5</v>
      </c>
      <c r="CA46" s="42">
        <v>3</v>
      </c>
      <c r="CC46">
        <v>2</v>
      </c>
      <c r="CE46">
        <f t="shared" si="11"/>
        <v>44</v>
      </c>
      <c r="CF46" s="75">
        <v>2</v>
      </c>
      <c r="CM46" s="61">
        <f t="array" ref="CM46">SUM(ABS(TRANSPOSE($BZ45:$CA45)-CI$3:CI$4)^$CI$8)</f>
        <v>36.539940828402372</v>
      </c>
      <c r="CN46">
        <f t="array" ref="CN46">SUM(ABS(TRANSPOSE($BZ45:$CA45)-CJ$3:CJ$4)^$CI$8)</f>
        <v>1.0594135802469133</v>
      </c>
      <c r="CO46" s="62">
        <f t="array" ref="CO46">SUM(ABS(TRANSPOSE($BZ45:$CA45)-CK$3:CK$4)^$CI$8)</f>
        <v>12.407024793388427</v>
      </c>
      <c r="CP46" s="75">
        <f t="shared" si="10"/>
        <v>1.0594135802469133</v>
      </c>
      <c r="CS46">
        <v>1</v>
      </c>
      <c r="CT46">
        <v>58.33379501385042</v>
      </c>
      <c r="CZ46" s="61" t="str">
        <v/>
      </c>
      <c r="DA46" t="str">
        <v/>
      </c>
      <c r="DB46" s="62">
        <v>42.056213017751482</v>
      </c>
      <c r="ES46" s="75">
        <v>1</v>
      </c>
      <c r="ET46" s="49" t="s">
        <v>169</v>
      </c>
    </row>
    <row r="47" spans="22:205" x14ac:dyDescent="0.25">
      <c r="AE47" s="42">
        <v>-14</v>
      </c>
      <c r="AF47" s="42">
        <v>3</v>
      </c>
      <c r="AG47" s="42">
        <v>4</v>
      </c>
      <c r="AI47">
        <v>2</v>
      </c>
      <c r="AL47">
        <f t="shared" si="7"/>
        <v>46</v>
      </c>
      <c r="AM47" s="75">
        <v>2</v>
      </c>
      <c r="AT47" s="61">
        <f t="array" ref="AT47">SUM(ABS(TRANSPOSE($AE47:$AG47)-AP$2:AP$4)^$AP$8)</f>
        <v>410.6627423822714</v>
      </c>
      <c r="AU47">
        <f t="array" ref="AU47">SUM(ABS(TRANSPOSE($AE47:$AG47)-AQ$2:AQ$4)^$AP$8)</f>
        <v>11.442500000000004</v>
      </c>
      <c r="AV47" s="62">
        <f t="array" ref="AV47">SUM(ABS(TRANSPOSE($AE47:$AG47)-AR$2:AR$4)^$AP$8)</f>
        <v>106.96005917159761</v>
      </c>
      <c r="AW47" s="75">
        <f t="shared" si="2"/>
        <v>11.442500000000004</v>
      </c>
      <c r="AY47">
        <v>410.6627423822714</v>
      </c>
      <c r="AZ47">
        <v>11.442500000000004</v>
      </c>
      <c r="BA47">
        <v>106.96005917159761</v>
      </c>
      <c r="BB47">
        <v>11.442500000000004</v>
      </c>
      <c r="BH47">
        <v>46</v>
      </c>
      <c r="BI47">
        <v>-14</v>
      </c>
      <c r="BJ47">
        <v>3</v>
      </c>
      <c r="BK47">
        <v>4</v>
      </c>
      <c r="BM47" s="75">
        <v>2</v>
      </c>
      <c r="BO47">
        <v>2</v>
      </c>
      <c r="BP47">
        <v>11.442500000000004</v>
      </c>
      <c r="BZ47" s="42">
        <v>3</v>
      </c>
      <c r="CA47" s="42">
        <v>4</v>
      </c>
      <c r="CC47">
        <v>2</v>
      </c>
      <c r="CE47">
        <f t="shared" si="11"/>
        <v>45</v>
      </c>
      <c r="CF47" s="75">
        <v>1</v>
      </c>
      <c r="CM47" s="61">
        <f t="array" ref="CM47">SUM(ABS(TRANSPOSE($BZ46:$CA46)-CI$3:CI$4)^$CI$8)</f>
        <v>1.6168639053254437</v>
      </c>
      <c r="CN47">
        <f t="array" ref="CN47">SUM(ABS(TRANSPOSE($BZ46:$CA46)-CJ$3:CJ$4)^$CI$8)</f>
        <v>39.892746913580247</v>
      </c>
      <c r="CO47" s="62">
        <f t="array" ref="CO47">SUM(ABS(TRANSPOSE($BZ46:$CA46)-CK$3:CK$4)^$CI$8)</f>
        <v>66.588842975206603</v>
      </c>
      <c r="CP47" s="75">
        <f t="shared" si="10"/>
        <v>1.6168639053254437</v>
      </c>
      <c r="CS47">
        <v>2</v>
      </c>
      <c r="CT47">
        <v>11.442500000000004</v>
      </c>
      <c r="CZ47" s="61" t="str">
        <v/>
      </c>
      <c r="DA47" t="str">
        <v/>
      </c>
      <c r="DB47" s="62">
        <v>10.652366863905325</v>
      </c>
      <c r="ES47" s="75">
        <v>2</v>
      </c>
      <c r="ET47" s="49" t="s">
        <v>162</v>
      </c>
    </row>
    <row r="48" spans="22:205" x14ac:dyDescent="0.25">
      <c r="AE48" s="42">
        <v>5</v>
      </c>
      <c r="AF48" s="42">
        <v>1.5</v>
      </c>
      <c r="AG48" s="42">
        <v>2</v>
      </c>
      <c r="AI48">
        <v>3</v>
      </c>
      <c r="AL48">
        <f t="shared" si="7"/>
        <v>47</v>
      </c>
      <c r="AM48" s="75">
        <v>1</v>
      </c>
      <c r="AT48" s="61">
        <f t="array" ref="AT48">SUM(ABS(TRANSPOSE($AE48:$AG48)-AP$2:AP$4)^$AP$8)</f>
        <v>11.439058171745151</v>
      </c>
      <c r="AU48">
        <f t="array" ref="AU48">SUM(ABS(TRANSPOSE($AE48:$AG48)-AQ$2:AQ$4)^$AP$8)</f>
        <v>456.44250000000005</v>
      </c>
      <c r="AV48" s="62">
        <f t="array" ref="AV48">SUM(ABS(TRANSPOSE($AE48:$AG48)-AR$2:AR$4)^$AP$8)</f>
        <v>78.825443786982277</v>
      </c>
      <c r="AW48" s="75">
        <f t="shared" si="2"/>
        <v>11.439058171745151</v>
      </c>
      <c r="AY48">
        <v>11.439058171745151</v>
      </c>
      <c r="AZ48">
        <v>456.44250000000005</v>
      </c>
      <c r="BA48">
        <v>78.825443786982277</v>
      </c>
      <c r="BB48">
        <v>11.439058171745151</v>
      </c>
      <c r="BH48">
        <v>47</v>
      </c>
      <c r="BI48">
        <v>5</v>
      </c>
      <c r="BJ48">
        <v>1.5</v>
      </c>
      <c r="BK48">
        <v>2</v>
      </c>
      <c r="BM48" s="75">
        <v>1</v>
      </c>
      <c r="BO48">
        <v>1</v>
      </c>
      <c r="BP48">
        <v>11.439058171745151</v>
      </c>
      <c r="BZ48" s="42">
        <v>1.5</v>
      </c>
      <c r="CA48" s="42">
        <v>2</v>
      </c>
      <c r="CC48">
        <v>3</v>
      </c>
      <c r="CE48">
        <f t="shared" si="11"/>
        <v>46</v>
      </c>
      <c r="CF48" s="75">
        <v>2</v>
      </c>
      <c r="CM48" s="61">
        <f t="array" ref="CM48">SUM(ABS(TRANSPOSE($BZ47:$CA47)-CI$3:CI$4)^$CI$8)</f>
        <v>11.289940828402367</v>
      </c>
      <c r="CN48">
        <f t="array" ref="CN48">SUM(ABS(TRANSPOSE($BZ47:$CA47)-CJ$3:CJ$4)^$CI$8)</f>
        <v>3.2816358024691361</v>
      </c>
      <c r="CO48" s="62">
        <f t="array" ref="CO48">SUM(ABS(TRANSPOSE($BZ47:$CA47)-CK$3:CK$4)^$CI$8)</f>
        <v>18.15702479338843</v>
      </c>
      <c r="CP48" s="75">
        <f t="shared" si="10"/>
        <v>3.2816358024691361</v>
      </c>
      <c r="CS48">
        <v>1</v>
      </c>
      <c r="CT48">
        <v>11.439058171745151</v>
      </c>
      <c r="CZ48" s="61" t="str">
        <v/>
      </c>
      <c r="DA48" t="str">
        <v/>
      </c>
      <c r="DB48" s="62">
        <v>15.748520710059172</v>
      </c>
      <c r="ES48" s="75">
        <v>3</v>
      </c>
      <c r="ET48" s="49" t="s">
        <v>193</v>
      </c>
    </row>
    <row r="49" spans="31:150" x14ac:dyDescent="0.25">
      <c r="AE49" s="42">
        <v>6</v>
      </c>
      <c r="AF49" s="42">
        <v>-1</v>
      </c>
      <c r="AG49" s="42">
        <v>3</v>
      </c>
      <c r="AI49">
        <v>3</v>
      </c>
      <c r="AL49">
        <f t="shared" si="7"/>
        <v>48</v>
      </c>
      <c r="AM49" s="75">
        <v>1</v>
      </c>
      <c r="AT49" s="61">
        <f t="array" ref="AT49">SUM(ABS(TRANSPOSE($AE49:$AG49)-AP$2:AP$4)^$AP$8)</f>
        <v>26.294321329639889</v>
      </c>
      <c r="AU49">
        <f t="array" ref="AU49">SUM(ABS(TRANSPOSE($AE49:$AG49)-AQ$2:AQ$4)^$AP$8)</f>
        <v>523.4425</v>
      </c>
      <c r="AV49" s="62">
        <f t="array" ref="AV49">SUM(ABS(TRANSPOSE($AE49:$AG49)-AR$2:AR$4)^$AP$8)</f>
        <v>104.8062130177515</v>
      </c>
      <c r="AW49" s="75">
        <f t="shared" si="2"/>
        <v>26.294321329639889</v>
      </c>
      <c r="AY49">
        <v>26.294321329639889</v>
      </c>
      <c r="AZ49">
        <v>523.4425</v>
      </c>
      <c r="BA49">
        <v>104.8062130177515</v>
      </c>
      <c r="BB49">
        <v>26.294321329639889</v>
      </c>
      <c r="BH49">
        <v>48</v>
      </c>
      <c r="BI49">
        <v>6</v>
      </c>
      <c r="BJ49">
        <v>-1</v>
      </c>
      <c r="BK49">
        <v>3</v>
      </c>
      <c r="BM49" s="75">
        <v>1</v>
      </c>
      <c r="BO49">
        <v>1</v>
      </c>
      <c r="BP49">
        <v>26.294321329639889</v>
      </c>
      <c r="BZ49" s="42">
        <v>-1</v>
      </c>
      <c r="CA49" s="42">
        <v>3</v>
      </c>
      <c r="CC49">
        <v>3</v>
      </c>
      <c r="CE49">
        <f t="shared" si="11"/>
        <v>47</v>
      </c>
      <c r="CF49" s="75">
        <v>3</v>
      </c>
      <c r="CM49" s="61">
        <f t="array" ref="CM49">SUM(ABS(TRANSPOSE($BZ48:$CA48)-CI$3:CI$4)^$CI$8)</f>
        <v>23.539940828402369</v>
      </c>
      <c r="CN49">
        <f t="array" ref="CN49">SUM(ABS(TRANSPOSE($BZ48:$CA48)-CJ$3:CJ$4)^$CI$8)</f>
        <v>9.3371913580246915</v>
      </c>
      <c r="CO49" s="62">
        <f t="array" ref="CO49">SUM(ABS(TRANSPOSE($BZ48:$CA48)-CK$3:CK$4)^$CI$8)</f>
        <v>4.3161157024793386</v>
      </c>
      <c r="CP49" s="75">
        <f t="shared" si="10"/>
        <v>4.3161157024793386</v>
      </c>
      <c r="CS49">
        <v>1</v>
      </c>
      <c r="CT49">
        <v>26.294321329639889</v>
      </c>
      <c r="CZ49" s="61" t="str">
        <v/>
      </c>
      <c r="DA49" t="str">
        <v/>
      </c>
      <c r="DB49" s="62">
        <v>102.72928994082839</v>
      </c>
      <c r="ES49" s="75">
        <v>3</v>
      </c>
      <c r="ET49" s="49" t="s">
        <v>195</v>
      </c>
    </row>
    <row r="50" spans="31:150" x14ac:dyDescent="0.25">
      <c r="AE50" s="42">
        <v>-6</v>
      </c>
      <c r="AF50" s="42">
        <v>-4</v>
      </c>
      <c r="AG50" s="42">
        <v>-4</v>
      </c>
      <c r="AI50">
        <v>3</v>
      </c>
      <c r="AL50">
        <f t="shared" si="7"/>
        <v>49</v>
      </c>
      <c r="AM50" s="75">
        <v>3</v>
      </c>
      <c r="AT50" s="61">
        <f t="array" ref="AT50">SUM(ABS(TRANSPOSE($AE50:$AG50)-AP$2:AP$4)^$AP$8)</f>
        <v>276.08379501385042</v>
      </c>
      <c r="AU50">
        <f t="array" ref="AU50">SUM(ABS(TRANSPOSE($AE50:$AG50)-AQ$2:AQ$4)^$AP$8)</f>
        <v>217.54250000000002</v>
      </c>
      <c r="AV50" s="62">
        <f t="array" ref="AV50">SUM(ABS(TRANSPOSE($AE50:$AG50)-AR$2:AR$4)^$AP$8)</f>
        <v>102.72928994082839</v>
      </c>
      <c r="AW50" s="75">
        <f t="shared" si="2"/>
        <v>102.72928994082839</v>
      </c>
      <c r="AY50">
        <v>276.08379501385042</v>
      </c>
      <c r="AZ50">
        <v>217.54250000000002</v>
      </c>
      <c r="BA50">
        <v>102.72928994082839</v>
      </c>
      <c r="BB50">
        <v>102.72928994082839</v>
      </c>
      <c r="BH50">
        <v>49</v>
      </c>
      <c r="BI50">
        <v>-6</v>
      </c>
      <c r="BJ50">
        <v>-4</v>
      </c>
      <c r="BK50">
        <v>-4</v>
      </c>
      <c r="BM50" s="75">
        <v>3</v>
      </c>
      <c r="BO50">
        <v>3</v>
      </c>
      <c r="BP50">
        <v>102.72928994082839</v>
      </c>
      <c r="BZ50" s="42">
        <v>-4</v>
      </c>
      <c r="CA50" s="42">
        <v>-4</v>
      </c>
      <c r="CC50">
        <v>3</v>
      </c>
      <c r="CE50">
        <f t="shared" si="11"/>
        <v>48</v>
      </c>
      <c r="CF50" s="75">
        <v>3</v>
      </c>
      <c r="CM50" s="61">
        <f t="array" ref="CM50">SUM(ABS(TRANSPOSE($BZ49:$CA49)-CI$3:CI$4)^$CI$8)</f>
        <v>52.289940828402365</v>
      </c>
      <c r="CN50">
        <f t="array" ref="CN50">SUM(ABS(TRANSPOSE($BZ49:$CA49)-CJ$3:CJ$4)^$CI$8)</f>
        <v>10.614969135802468</v>
      </c>
      <c r="CO50" s="62">
        <f t="array" ref="CO50">SUM(ABS(TRANSPOSE($BZ49:$CA49)-CK$3:CK$4)^$CI$8)</f>
        <v>2.0661157024793386</v>
      </c>
      <c r="CP50" s="75">
        <f t="shared" si="10"/>
        <v>2.0661157024793386</v>
      </c>
      <c r="CS50">
        <v>3</v>
      </c>
      <c r="CT50">
        <v>102.72928994082839</v>
      </c>
      <c r="CZ50" s="63" t="str">
        <v/>
      </c>
      <c r="DA50" s="64" t="str">
        <v/>
      </c>
      <c r="DB50" s="65">
        <v>7.8831360946745548</v>
      </c>
      <c r="ES50" s="75">
        <v>3</v>
      </c>
      <c r="ET50" s="49" t="s">
        <v>197</v>
      </c>
    </row>
    <row r="51" spans="31:150" x14ac:dyDescent="0.25">
      <c r="AE51" s="42">
        <v>-4</v>
      </c>
      <c r="AF51" s="42">
        <v>5</v>
      </c>
      <c r="AG51" s="42">
        <v>4</v>
      </c>
      <c r="AI51">
        <v>2</v>
      </c>
      <c r="AL51">
        <f t="shared" si="7"/>
        <v>50</v>
      </c>
      <c r="AM51" s="75">
        <v>3</v>
      </c>
      <c r="AT51" s="61">
        <f t="array" ref="AT51">SUM(ABS(TRANSPOSE($AE51:$AG51)-AP$2:AP$4)^$AP$8)</f>
        <v>105.71537396121883</v>
      </c>
      <c r="AU51">
        <f t="array" ref="AU51">SUM(ABS(TRANSPOSE($AE51:$AG51)-AQ$2:AQ$4)^$AP$8)</f>
        <v>150.04250000000005</v>
      </c>
      <c r="AV51" s="62">
        <f t="array" ref="AV51">SUM(ABS(TRANSPOSE($AE51:$AG51)-AR$2:AR$4)^$AP$8)</f>
        <v>7.8831360946745548</v>
      </c>
      <c r="AW51" s="75">
        <f t="shared" si="2"/>
        <v>7.8831360946745548</v>
      </c>
      <c r="AY51">
        <v>105.71537396121883</v>
      </c>
      <c r="AZ51">
        <v>150.04250000000005</v>
      </c>
      <c r="BA51">
        <v>7.8831360946745548</v>
      </c>
      <c r="BB51">
        <v>7.8831360946745548</v>
      </c>
      <c r="BH51">
        <v>50</v>
      </c>
      <c r="BI51">
        <v>-4</v>
      </c>
      <c r="BJ51">
        <v>5</v>
      </c>
      <c r="BK51">
        <v>4</v>
      </c>
      <c r="BM51" s="75">
        <v>3</v>
      </c>
      <c r="BO51">
        <v>3</v>
      </c>
      <c r="BP51">
        <v>7.8831360946745548</v>
      </c>
      <c r="BZ51" s="42">
        <v>5</v>
      </c>
      <c r="CA51" s="42">
        <v>4</v>
      </c>
      <c r="CC51">
        <v>2</v>
      </c>
      <c r="CE51">
        <f t="shared" si="11"/>
        <v>49</v>
      </c>
      <c r="CF51" s="75">
        <v>3</v>
      </c>
      <c r="CM51" s="61">
        <f t="array" ref="CM51">SUM(ABS(TRANSPOSE($BZ50:$CA50)-CI$3:CI$4)^$CI$8)</f>
        <v>154.75147928994082</v>
      </c>
      <c r="CN51">
        <f t="array" ref="CN51">SUM(ABS(TRANSPOSE($BZ50:$CA50)-CJ$3:CJ$4)^$CI$8)</f>
        <v>112.55941358024691</v>
      </c>
      <c r="CO51" s="62">
        <f t="array" ref="CO51">SUM(ABS(TRANSPOSE($BZ50:$CA50)-CK$3:CK$4)^$CI$8)</f>
        <v>43.702479338842977</v>
      </c>
      <c r="CP51" s="75">
        <f t="shared" si="10"/>
        <v>43.702479338842977</v>
      </c>
      <c r="CS51">
        <v>3</v>
      </c>
      <c r="CT51">
        <v>7.8831360946745548</v>
      </c>
      <c r="ES51" s="75">
        <v>1</v>
      </c>
      <c r="ET51" s="49" t="s">
        <v>155</v>
      </c>
    </row>
    <row r="52" spans="31:150" x14ac:dyDescent="0.25">
      <c r="AE52" s="10">
        <v>-14</v>
      </c>
      <c r="AF52" s="10">
        <v>0</v>
      </c>
      <c r="AG52" s="10">
        <v>2</v>
      </c>
      <c r="AI52">
        <v>3</v>
      </c>
      <c r="AL52">
        <f t="shared" si="7"/>
        <v>51</v>
      </c>
      <c r="AM52" s="75">
        <v>2</v>
      </c>
      <c r="AT52" s="61">
        <f t="array" ref="AT52">SUM(ABS(TRANSPOSE($AE52:$AG52)-AP$2:AP$4)^$AP$8)</f>
        <v>429.34695290858718</v>
      </c>
      <c r="AU52">
        <f t="array" ref="AU52">SUM(ABS(TRANSPOSE($AE52:$AG52)-AQ$2:AQ$4)^$AP$8)</f>
        <v>27.942500000000006</v>
      </c>
      <c r="AV52" s="62">
        <f t="array" ref="AV52">SUM(ABS(TRANSPOSE($AE52:$AG52)-AR$2:AR$4)^$AP$8)</f>
        <v>113.96005917159762</v>
      </c>
      <c r="AW52" s="75">
        <f t="shared" si="2"/>
        <v>27.942500000000006</v>
      </c>
      <c r="AY52">
        <v>429.34695290858718</v>
      </c>
      <c r="AZ52">
        <v>27.942500000000006</v>
      </c>
      <c r="BA52">
        <v>113.96005917159762</v>
      </c>
      <c r="BB52">
        <v>27.942500000000006</v>
      </c>
      <c r="BH52">
        <v>51</v>
      </c>
      <c r="BI52">
        <v>-14</v>
      </c>
      <c r="BJ52">
        <v>0</v>
      </c>
      <c r="BK52">
        <v>2</v>
      </c>
      <c r="BM52" s="75">
        <v>2</v>
      </c>
      <c r="BO52">
        <v>2</v>
      </c>
      <c r="BP52">
        <v>27.942500000000006</v>
      </c>
      <c r="BZ52" s="10">
        <v>0</v>
      </c>
      <c r="CA52" s="10">
        <v>2</v>
      </c>
      <c r="CC52">
        <v>3</v>
      </c>
      <c r="CE52">
        <f t="shared" si="11"/>
        <v>50</v>
      </c>
      <c r="CF52" s="75">
        <v>1</v>
      </c>
      <c r="CM52" s="61">
        <f t="array" ref="CM52">SUM(ABS(TRANSPOSE($BZ51:$CA51)-CI$3:CI$4)^$CI$8)</f>
        <v>2.3668639053254434</v>
      </c>
      <c r="CN52">
        <f t="array" ref="CN52">SUM(ABS(TRANSPOSE($BZ51:$CA51)-CJ$3:CJ$4)^$CI$8)</f>
        <v>13.170524691358025</v>
      </c>
      <c r="CO52" s="62">
        <f t="array" ref="CO52">SUM(ABS(TRANSPOSE($BZ51:$CA51)-CK$3:CK$4)^$CI$8)</f>
        <v>36.338842975206603</v>
      </c>
      <c r="CP52" s="75">
        <f t="shared" si="10"/>
        <v>2.3668639053254434</v>
      </c>
      <c r="CS52">
        <v>2</v>
      </c>
      <c r="CT52">
        <v>27.942500000000006</v>
      </c>
      <c r="ES52" s="75">
        <v>3</v>
      </c>
      <c r="ET52" s="49" t="s">
        <v>185</v>
      </c>
    </row>
    <row r="53" spans="31:150" x14ac:dyDescent="0.25">
      <c r="AE53" s="10">
        <v>-16</v>
      </c>
      <c r="AF53" s="10">
        <v>3</v>
      </c>
      <c r="AG53" s="10">
        <v>5</v>
      </c>
      <c r="AI53">
        <v>2</v>
      </c>
      <c r="AL53">
        <f t="shared" si="7"/>
        <v>52</v>
      </c>
      <c r="AM53" s="75">
        <v>2</v>
      </c>
      <c r="AT53" s="61">
        <f t="array" ref="AT53">SUM(ABS(TRANSPOSE($AE53:$AG53)-AP$2:AP$4)^$AP$8)</f>
        <v>496.92590027700828</v>
      </c>
      <c r="AU53">
        <f t="array" ref="AU53">SUM(ABS(TRANSPOSE($AE53:$AG53)-AQ$2:AQ$4)^$AP$8)</f>
        <v>11.842499999999999</v>
      </c>
      <c r="AV53" s="62">
        <f t="array" ref="AV53">SUM(ABS(TRANSPOSE($AE53:$AG53)-AR$2:AR$4)^$AP$8)</f>
        <v>153.88313609467454</v>
      </c>
      <c r="AW53" s="75">
        <f t="shared" si="2"/>
        <v>11.842499999999999</v>
      </c>
      <c r="AY53">
        <v>496.92590027700828</v>
      </c>
      <c r="AZ53">
        <v>11.842499999999999</v>
      </c>
      <c r="BA53">
        <v>153.88313609467454</v>
      </c>
      <c r="BB53">
        <v>11.842499999999999</v>
      </c>
      <c r="BH53">
        <v>52</v>
      </c>
      <c r="BI53">
        <v>-16</v>
      </c>
      <c r="BJ53">
        <v>3</v>
      </c>
      <c r="BK53">
        <v>5</v>
      </c>
      <c r="BM53" s="75">
        <v>2</v>
      </c>
      <c r="BO53">
        <v>2</v>
      </c>
      <c r="BP53">
        <v>11.842499999999999</v>
      </c>
      <c r="BZ53" s="10">
        <v>3</v>
      </c>
      <c r="CA53" s="10">
        <v>5</v>
      </c>
      <c r="CC53">
        <v>2</v>
      </c>
      <c r="CE53">
        <f t="shared" si="11"/>
        <v>51</v>
      </c>
      <c r="CF53" s="75">
        <v>3</v>
      </c>
      <c r="CM53" s="61">
        <f t="array" ref="CM53">SUM(ABS(TRANSPOSE($BZ52:$CA52)-CI$3:CI$4)^$CI$8)</f>
        <v>39.982248520710058</v>
      </c>
      <c r="CN53">
        <f t="array" ref="CN53">SUM(ABS(TRANSPOSE($BZ52:$CA52)-CJ$3:CJ$4)^$CI$8)</f>
        <v>11.670524691358024</v>
      </c>
      <c r="CO53" s="62">
        <f t="array" ref="CO53">SUM(ABS(TRANSPOSE($BZ52:$CA52)-CK$3:CK$4)^$CI$8)</f>
        <v>0.42975206611570238</v>
      </c>
      <c r="CP53" s="75">
        <f t="shared" si="10"/>
        <v>0.42975206611570238</v>
      </c>
      <c r="CS53">
        <v>2</v>
      </c>
      <c r="CT53">
        <v>11.842499999999999</v>
      </c>
      <c r="ES53" s="75">
        <v>2</v>
      </c>
      <c r="ET53" s="49" t="s">
        <v>164</v>
      </c>
    </row>
    <row r="54" spans="31:150" x14ac:dyDescent="0.25">
      <c r="AE54" s="10">
        <v>2</v>
      </c>
      <c r="AF54" s="10">
        <v>1</v>
      </c>
      <c r="AG54" s="10">
        <v>7</v>
      </c>
      <c r="AI54">
        <v>1</v>
      </c>
      <c r="AL54">
        <f t="shared" si="7"/>
        <v>53</v>
      </c>
      <c r="AM54" s="75">
        <v>1</v>
      </c>
      <c r="AT54" s="61">
        <f t="array" ref="AT54">SUM(ABS(TRANSPOSE($AE54:$AG54)-AP$2:AP$4)^$AP$8)</f>
        <v>37.241689750692515</v>
      </c>
      <c r="AU54">
        <f t="array" ref="AU54">SUM(ABS(TRANSPOSE($AE54:$AG54)-AQ$2:AQ$4)^$AP$8)</f>
        <v>366.44250000000005</v>
      </c>
      <c r="AV54" s="62">
        <f t="array" ref="AV54">SUM(ABS(TRANSPOSE($AE54:$AG54)-AR$2:AR$4)^$AP$8)</f>
        <v>45.113905325443795</v>
      </c>
      <c r="AW54" s="75">
        <f t="shared" si="2"/>
        <v>37.241689750692515</v>
      </c>
      <c r="AY54">
        <v>37.241689750692515</v>
      </c>
      <c r="AZ54">
        <v>366.44250000000005</v>
      </c>
      <c r="BA54">
        <v>45.113905325443795</v>
      </c>
      <c r="BB54">
        <v>37.241689750692515</v>
      </c>
      <c r="BH54">
        <v>53</v>
      </c>
      <c r="BI54">
        <v>2</v>
      </c>
      <c r="BJ54">
        <v>1</v>
      </c>
      <c r="BK54">
        <v>7</v>
      </c>
      <c r="BM54" s="75">
        <v>1</v>
      </c>
      <c r="BO54">
        <v>1</v>
      </c>
      <c r="BP54">
        <v>37.241689750692515</v>
      </c>
      <c r="BZ54" s="10">
        <v>1</v>
      </c>
      <c r="CA54" s="10">
        <v>7</v>
      </c>
      <c r="CC54">
        <v>1</v>
      </c>
      <c r="CE54">
        <f t="shared" si="11"/>
        <v>52</v>
      </c>
      <c r="CF54" s="75">
        <v>2</v>
      </c>
      <c r="CM54" s="61">
        <f t="array" ref="CM54">SUM(ABS(TRANSPOSE($BZ53:$CA53)-CI$3:CI$4)^$CI$8)</f>
        <v>14.136094674556213</v>
      </c>
      <c r="CN54">
        <f t="array" ref="CN54">SUM(ABS(TRANSPOSE($BZ53:$CA53)-CJ$3:CJ$4)^$CI$8)</f>
        <v>2.1705246913580249</v>
      </c>
      <c r="CO54" s="62">
        <f t="array" ref="CO54">SUM(ABS(TRANSPOSE($BZ53:$CA53)-CK$3:CK$4)^$CI$8)</f>
        <v>23.884297520661157</v>
      </c>
      <c r="CP54" s="75">
        <f t="shared" si="10"/>
        <v>2.1705246913580249</v>
      </c>
      <c r="CS54">
        <v>1</v>
      </c>
      <c r="CT54">
        <v>37.241689750692515</v>
      </c>
      <c r="ES54" s="75">
        <v>2</v>
      </c>
      <c r="ET54" s="49" t="s">
        <v>157</v>
      </c>
    </row>
    <row r="55" spans="31:150" x14ac:dyDescent="0.25">
      <c r="AE55" s="10">
        <v>3</v>
      </c>
      <c r="AF55" s="10">
        <v>5</v>
      </c>
      <c r="AG55" s="10">
        <v>4</v>
      </c>
      <c r="AI55">
        <v>2</v>
      </c>
      <c r="AL55">
        <f t="shared" si="7"/>
        <v>54</v>
      </c>
      <c r="AM55" s="75">
        <v>1</v>
      </c>
      <c r="AT55" s="61">
        <f t="array" ref="AT55">SUM(ABS(TRANSPOSE($AE55:$AG55)-AP$2:AP$4)^$AP$8)</f>
        <v>11.399584487534625</v>
      </c>
      <c r="AU55">
        <f t="array" ref="AU55">SUM(ABS(TRANSPOSE($AE55:$AG55)-AQ$2:AQ$4)^$AP$8)</f>
        <v>368.44250000000005</v>
      </c>
      <c r="AV55" s="62">
        <f t="array" ref="AV55">SUM(ABS(TRANSPOSE($AE55:$AG55)-AR$2:AR$4)^$AP$8)</f>
        <v>52.575443786982255</v>
      </c>
      <c r="AW55" s="75">
        <f t="shared" si="2"/>
        <v>11.399584487534625</v>
      </c>
      <c r="AY55">
        <v>11.399584487534625</v>
      </c>
      <c r="AZ55">
        <v>368.44250000000005</v>
      </c>
      <c r="BA55">
        <v>52.575443786982255</v>
      </c>
      <c r="BB55">
        <v>11.399584487534625</v>
      </c>
      <c r="BH55">
        <v>54</v>
      </c>
      <c r="BI55">
        <v>3</v>
      </c>
      <c r="BJ55">
        <v>5</v>
      </c>
      <c r="BK55">
        <v>4</v>
      </c>
      <c r="BM55" s="75">
        <v>1</v>
      </c>
      <c r="BO55">
        <v>1</v>
      </c>
      <c r="BP55">
        <v>11.399584487534625</v>
      </c>
      <c r="BZ55" s="10">
        <v>5</v>
      </c>
      <c r="CA55" s="10">
        <v>4</v>
      </c>
      <c r="CC55">
        <v>2</v>
      </c>
      <c r="CE55">
        <f t="shared" si="11"/>
        <v>53</v>
      </c>
      <c r="CF55" s="75">
        <v>2</v>
      </c>
      <c r="CM55" s="61">
        <f t="array" ref="CM55">SUM(ABS(TRANSPOSE($BZ54:$CA54)-CI$3:CI$4)^$CI$8)</f>
        <v>42.751479289940832</v>
      </c>
      <c r="CN55">
        <f t="array" ref="CN55">SUM(ABS(TRANSPOSE($BZ54:$CA54)-CJ$3:CJ$4)^$CI$8)</f>
        <v>4.0594135802469138</v>
      </c>
      <c r="CO55" s="62">
        <f t="array" ref="CO55">SUM(ABS(TRANSPOSE($BZ54:$CA54)-CK$3:CK$4)^$CI$8)</f>
        <v>31.157024793388427</v>
      </c>
      <c r="CP55" s="75">
        <f t="shared" si="10"/>
        <v>4.0594135802469138</v>
      </c>
      <c r="CS55">
        <v>1</v>
      </c>
      <c r="CT55">
        <v>11.399584487534625</v>
      </c>
      <c r="ES55" s="75">
        <v>1</v>
      </c>
      <c r="ET55" s="50" t="s">
        <v>141</v>
      </c>
    </row>
    <row r="56" spans="31:150" x14ac:dyDescent="0.25">
      <c r="AE56" s="10">
        <v>11</v>
      </c>
      <c r="AF56" s="10">
        <v>7.5</v>
      </c>
      <c r="AG56" s="10">
        <v>7</v>
      </c>
      <c r="AI56">
        <v>1</v>
      </c>
      <c r="AL56">
        <f t="shared" si="7"/>
        <v>55</v>
      </c>
      <c r="AM56" s="76">
        <v>1</v>
      </c>
      <c r="AT56" s="63">
        <f t="array" ref="AT56">SUM(ABS(TRANSPOSE($AE56:$AG56)-AP$2:AP$4)^$AP$8)</f>
        <v>44.544321329639899</v>
      </c>
      <c r="AU56" s="64">
        <f t="array" ref="AU56">SUM(ABS(TRANSPOSE($AE56:$AG56)-AQ$2:AQ$4)^$AP$8)</f>
        <v>765.44250000000011</v>
      </c>
      <c r="AV56" s="65">
        <f t="array" ref="AV56">SUM(ABS(TRANSPOSE($AE56:$AG56)-AR$2:AR$4)^$AP$8)</f>
        <v>254.82544378698231</v>
      </c>
      <c r="AW56" s="76">
        <f t="shared" si="2"/>
        <v>44.544321329639899</v>
      </c>
      <c r="AY56">
        <v>44.544321329639899</v>
      </c>
      <c r="AZ56">
        <v>765.44250000000011</v>
      </c>
      <c r="BA56">
        <v>254.82544378698231</v>
      </c>
      <c r="BB56">
        <v>44.544321329639899</v>
      </c>
      <c r="BH56">
        <v>55</v>
      </c>
      <c r="BI56">
        <v>11</v>
      </c>
      <c r="BJ56">
        <v>7.5</v>
      </c>
      <c r="BK56">
        <v>7</v>
      </c>
      <c r="BM56" s="76">
        <v>1</v>
      </c>
      <c r="BO56">
        <v>1</v>
      </c>
      <c r="BP56">
        <v>44.544321329639899</v>
      </c>
      <c r="BZ56" s="10">
        <v>7.5</v>
      </c>
      <c r="CA56" s="10">
        <v>7</v>
      </c>
      <c r="CC56">
        <v>1</v>
      </c>
      <c r="CE56">
        <f t="shared" si="11"/>
        <v>54</v>
      </c>
      <c r="CF56" s="75">
        <v>1</v>
      </c>
      <c r="CM56" s="61">
        <f t="array" ref="CM56">SUM(ABS(TRANSPOSE($BZ55:$CA55)-CI$3:CI$4)^$CI$8)</f>
        <v>2.3668639053254434</v>
      </c>
      <c r="CN56">
        <f t="array" ref="CN56">SUM(ABS(TRANSPOSE($BZ55:$CA55)-CJ$3:CJ$4)^$CI$8)</f>
        <v>13.170524691358025</v>
      </c>
      <c r="CO56" s="62">
        <f t="array" ref="CO56">SUM(ABS(TRANSPOSE($BZ55:$CA55)-CK$3:CK$4)^$CI$8)</f>
        <v>36.338842975206603</v>
      </c>
      <c r="CP56" s="75">
        <f t="shared" si="10"/>
        <v>2.3668639053254434</v>
      </c>
      <c r="CS56">
        <v>1</v>
      </c>
      <c r="CT56">
        <v>44.544321329639899</v>
      </c>
      <c r="ES56" s="76">
        <v>1</v>
      </c>
      <c r="ET56" s="49" t="s">
        <v>188</v>
      </c>
    </row>
    <row r="57" spans="31:150" x14ac:dyDescent="0.25">
      <c r="CE57">
        <f t="shared" si="11"/>
        <v>55</v>
      </c>
      <c r="CF57" s="76">
        <v>1</v>
      </c>
      <c r="CM57" s="63">
        <f t="array" ref="CM57">SUM(ABS(TRANSPOSE($BZ56:$CA56)-CI$3:CI$4)^$CI$8)</f>
        <v>17.001479289940828</v>
      </c>
      <c r="CN57" s="64">
        <f t="array" ref="CN57">SUM(ABS(TRANSPOSE($BZ56:$CA56)-CJ$3:CJ$4)^$CI$8)</f>
        <v>39.448302469135804</v>
      </c>
      <c r="CO57" s="65">
        <f t="array" ref="CO57">SUM(ABS(TRANSPOSE($BZ56:$CA56)-CK$3:CK$4)^$CI$8)</f>
        <v>93.49793388429751</v>
      </c>
      <c r="CP57" s="76">
        <f t="shared" si="10"/>
        <v>17.001479289940828</v>
      </c>
      <c r="ET57" s="1"/>
    </row>
    <row r="58" spans="31:150" x14ac:dyDescent="0.25">
      <c r="ET58" s="1"/>
    </row>
    <row r="59" spans="31:150" x14ac:dyDescent="0.25">
      <c r="ET59" s="1"/>
    </row>
    <row r="60" spans="31:150" x14ac:dyDescent="0.25">
      <c r="ET60" s="1"/>
    </row>
    <row r="61" spans="31:150" x14ac:dyDescent="0.25">
      <c r="ET61" s="1"/>
    </row>
    <row r="62" spans="31:150" x14ac:dyDescent="0.25">
      <c r="ET62" s="1"/>
    </row>
    <row r="63" spans="31:150" x14ac:dyDescent="0.25">
      <c r="ET63" s="1"/>
    </row>
    <row r="64" spans="31:150" x14ac:dyDescent="0.25">
      <c r="ET64" s="1"/>
    </row>
    <row r="65" spans="150:150" x14ac:dyDescent="0.25">
      <c r="ET65" s="1"/>
    </row>
    <row r="66" spans="150:150" x14ac:dyDescent="0.25">
      <c r="ET66" s="1"/>
    </row>
    <row r="67" spans="150:150" x14ac:dyDescent="0.25">
      <c r="ET67" s="1"/>
    </row>
    <row r="68" spans="150:150" x14ac:dyDescent="0.25">
      <c r="ET68" s="1"/>
    </row>
    <row r="69" spans="150:150" x14ac:dyDescent="0.25">
      <c r="ET69" s="1"/>
    </row>
    <row r="70" spans="150:150" x14ac:dyDescent="0.25">
      <c r="ET70" s="1"/>
    </row>
    <row r="71" spans="150:150" x14ac:dyDescent="0.25">
      <c r="ET71" s="1"/>
    </row>
    <row r="72" spans="150:150" x14ac:dyDescent="0.25">
      <c r="ET72" s="1"/>
    </row>
    <row r="73" spans="150:150" x14ac:dyDescent="0.25">
      <c r="ET73" s="1"/>
    </row>
    <row r="74" spans="150:150" x14ac:dyDescent="0.25">
      <c r="ET74" s="1"/>
    </row>
    <row r="75" spans="150:150" x14ac:dyDescent="0.25">
      <c r="ET75" s="1"/>
    </row>
    <row r="76" spans="150:150" x14ac:dyDescent="0.25">
      <c r="ET76" s="1"/>
    </row>
    <row r="77" spans="150:150" x14ac:dyDescent="0.25">
      <c r="ET77" s="1"/>
    </row>
    <row r="78" spans="150:150" x14ac:dyDescent="0.25">
      <c r="ET78" s="1"/>
    </row>
    <row r="79" spans="150:150" x14ac:dyDescent="0.25">
      <c r="ET79" s="1"/>
    </row>
    <row r="80" spans="150:150" x14ac:dyDescent="0.25">
      <c r="ET80" s="1"/>
    </row>
    <row r="81" spans="150:150" x14ac:dyDescent="0.25">
      <c r="ET81" s="1"/>
    </row>
    <row r="82" spans="150:150" x14ac:dyDescent="0.25">
      <c r="ET82" s="1"/>
    </row>
    <row r="83" spans="150:150" x14ac:dyDescent="0.25">
      <c r="ET83" s="1"/>
    </row>
    <row r="84" spans="150:150" x14ac:dyDescent="0.25">
      <c r="ET84" s="1"/>
    </row>
    <row r="85" spans="150:150" x14ac:dyDescent="0.25">
      <c r="ET85" s="1"/>
    </row>
    <row r="86" spans="150:150" x14ac:dyDescent="0.25">
      <c r="ET86" s="1"/>
    </row>
    <row r="87" spans="150:150" x14ac:dyDescent="0.25">
      <c r="ET87" s="1"/>
    </row>
    <row r="88" spans="150:150" x14ac:dyDescent="0.25">
      <c r="ET88" s="1"/>
    </row>
    <row r="89" spans="150:150" x14ac:dyDescent="0.25">
      <c r="ET89" s="1"/>
    </row>
    <row r="90" spans="150:150" x14ac:dyDescent="0.25">
      <c r="ET90" s="1"/>
    </row>
    <row r="91" spans="150:150" x14ac:dyDescent="0.25">
      <c r="ET91" s="1"/>
    </row>
    <row r="92" spans="150:150" x14ac:dyDescent="0.25">
      <c r="ET92" s="1"/>
    </row>
    <row r="93" spans="150:150" x14ac:dyDescent="0.25">
      <c r="ET93" s="1"/>
    </row>
    <row r="94" spans="150:150" x14ac:dyDescent="0.25">
      <c r="ET94" s="1"/>
    </row>
    <row r="95" spans="150:150" x14ac:dyDescent="0.25">
      <c r="ET95" s="1"/>
    </row>
    <row r="96" spans="150:150" x14ac:dyDescent="0.25">
      <c r="ET96" s="1"/>
    </row>
    <row r="97" spans="150:150" x14ac:dyDescent="0.25">
      <c r="ET97" s="1"/>
    </row>
    <row r="98" spans="150:150" x14ac:dyDescent="0.25">
      <c r="ET98" s="1"/>
    </row>
    <row r="99" spans="150:150" x14ac:dyDescent="0.25">
      <c r="ET99" s="1"/>
    </row>
    <row r="100" spans="150:150" x14ac:dyDescent="0.25">
      <c r="ET100" s="1"/>
    </row>
    <row r="101" spans="150:150" x14ac:dyDescent="0.25">
      <c r="ET101" s="1"/>
    </row>
    <row r="102" spans="150:150" x14ac:dyDescent="0.25">
      <c r="ET102" s="1"/>
    </row>
    <row r="103" spans="150:150" x14ac:dyDescent="0.25">
      <c r="ET103" s="1"/>
    </row>
    <row r="104" spans="150:150" x14ac:dyDescent="0.25">
      <c r="ET104" s="1"/>
    </row>
    <row r="105" spans="150:150" x14ac:dyDescent="0.25">
      <c r="ET105" s="1"/>
    </row>
    <row r="106" spans="150:150" x14ac:dyDescent="0.25">
      <c r="ET106" s="1"/>
    </row>
    <row r="107" spans="150:150" x14ac:dyDescent="0.25">
      <c r="ET107" s="1"/>
    </row>
    <row r="108" spans="150:150" x14ac:dyDescent="0.25">
      <c r="ET108" s="1"/>
    </row>
    <row r="109" spans="150:150" x14ac:dyDescent="0.25">
      <c r="ET109" s="1"/>
    </row>
    <row r="110" spans="150:150" x14ac:dyDescent="0.25">
      <c r="ET110" s="1"/>
    </row>
    <row r="111" spans="150:150" x14ac:dyDescent="0.25">
      <c r="ET111" s="1"/>
    </row>
    <row r="112" spans="150:150" x14ac:dyDescent="0.25">
      <c r="ET112" s="1"/>
    </row>
    <row r="113" spans="150:150" x14ac:dyDescent="0.25">
      <c r="ET113" s="1"/>
    </row>
    <row r="114" spans="150:150" x14ac:dyDescent="0.25">
      <c r="ET114" s="1"/>
    </row>
    <row r="115" spans="150:150" x14ac:dyDescent="0.25">
      <c r="ET115" s="1"/>
    </row>
    <row r="116" spans="150:150" x14ac:dyDescent="0.25">
      <c r="ET116" s="1"/>
    </row>
    <row r="117" spans="150:150" x14ac:dyDescent="0.25">
      <c r="ET117" s="1"/>
    </row>
    <row r="118" spans="150:150" x14ac:dyDescent="0.25">
      <c r="ET118" s="1"/>
    </row>
    <row r="119" spans="150:150" x14ac:dyDescent="0.25">
      <c r="ET119" s="1"/>
    </row>
    <row r="120" spans="150:150" x14ac:dyDescent="0.25">
      <c r="ET120" s="1"/>
    </row>
    <row r="121" spans="150:150" x14ac:dyDescent="0.25">
      <c r="ET121" s="1"/>
    </row>
    <row r="122" spans="150:150" x14ac:dyDescent="0.25">
      <c r="ET122" s="1"/>
    </row>
    <row r="123" spans="150:150" x14ac:dyDescent="0.25">
      <c r="ET123" s="1"/>
    </row>
    <row r="124" spans="150:150" x14ac:dyDescent="0.25">
      <c r="ET124" s="1"/>
    </row>
    <row r="125" spans="150:150" x14ac:dyDescent="0.25">
      <c r="ET125" s="1"/>
    </row>
    <row r="126" spans="150:150" x14ac:dyDescent="0.25">
      <c r="ET126" s="1"/>
    </row>
    <row r="127" spans="150:150" x14ac:dyDescent="0.25">
      <c r="ET127" s="1"/>
    </row>
    <row r="128" spans="150:150" x14ac:dyDescent="0.25">
      <c r="ET128" s="1"/>
    </row>
    <row r="129" spans="150:150" x14ac:dyDescent="0.25">
      <c r="ET129" s="1"/>
    </row>
    <row r="130" spans="150:150" x14ac:dyDescent="0.25">
      <c r="ET130" s="1"/>
    </row>
    <row r="131" spans="150:150" x14ac:dyDescent="0.25">
      <c r="ET131" s="1"/>
    </row>
    <row r="132" spans="150:150" x14ac:dyDescent="0.25">
      <c r="ET132" s="1"/>
    </row>
    <row r="133" spans="150:150" x14ac:dyDescent="0.25">
      <c r="ET133" s="1"/>
    </row>
    <row r="134" spans="150:150" x14ac:dyDescent="0.25">
      <c r="ET134" s="1"/>
    </row>
    <row r="135" spans="150:150" x14ac:dyDescent="0.25">
      <c r="ET135" s="1"/>
    </row>
    <row r="136" spans="150:150" x14ac:dyDescent="0.25">
      <c r="ET136" s="1"/>
    </row>
    <row r="137" spans="150:150" x14ac:dyDescent="0.25">
      <c r="ET137" s="1"/>
    </row>
    <row r="138" spans="150:150" x14ac:dyDescent="0.25">
      <c r="ET138" s="1"/>
    </row>
    <row r="139" spans="150:150" x14ac:dyDescent="0.25">
      <c r="ET139" s="1"/>
    </row>
    <row r="140" spans="150:150" x14ac:dyDescent="0.25">
      <c r="ET140" s="1"/>
    </row>
    <row r="141" spans="150:150" x14ac:dyDescent="0.25">
      <c r="ET141" s="1"/>
    </row>
    <row r="142" spans="150:150" x14ac:dyDescent="0.25">
      <c r="ET142" s="1"/>
    </row>
    <row r="143" spans="150:150" x14ac:dyDescent="0.25">
      <c r="ET143" s="1"/>
    </row>
    <row r="144" spans="150:150" x14ac:dyDescent="0.25">
      <c r="ET144" s="1"/>
    </row>
    <row r="145" spans="150:150" x14ac:dyDescent="0.25">
      <c r="ET145" s="1"/>
    </row>
    <row r="146" spans="150:150" x14ac:dyDescent="0.25">
      <c r="ET146" s="1"/>
    </row>
    <row r="147" spans="150:150" x14ac:dyDescent="0.25">
      <c r="ET147" s="1"/>
    </row>
    <row r="148" spans="150:150" x14ac:dyDescent="0.25">
      <c r="ET148" s="1"/>
    </row>
    <row r="149" spans="150:150" x14ac:dyDescent="0.25">
      <c r="ET149" s="1"/>
    </row>
    <row r="150" spans="150:150" x14ac:dyDescent="0.25">
      <c r="ET150" s="1"/>
    </row>
    <row r="151" spans="150:150" x14ac:dyDescent="0.25">
      <c r="ET151" s="1"/>
    </row>
    <row r="152" spans="150:150" x14ac:dyDescent="0.25">
      <c r="ET152" s="1"/>
    </row>
    <row r="153" spans="150:150" x14ac:dyDescent="0.25">
      <c r="ET153" s="1"/>
    </row>
    <row r="154" spans="150:150" x14ac:dyDescent="0.25">
      <c r="ET154" s="1"/>
    </row>
    <row r="155" spans="150:150" x14ac:dyDescent="0.25">
      <c r="ET155" s="1"/>
    </row>
    <row r="156" spans="150:150" x14ac:dyDescent="0.25">
      <c r="ET156" s="1"/>
    </row>
    <row r="157" spans="150:150" x14ac:dyDescent="0.25">
      <c r="ET157" s="1"/>
    </row>
    <row r="158" spans="150:150" x14ac:dyDescent="0.25">
      <c r="ET158" s="1"/>
    </row>
    <row r="159" spans="150:150" x14ac:dyDescent="0.25">
      <c r="ET159" s="1"/>
    </row>
    <row r="160" spans="150:150" x14ac:dyDescent="0.25">
      <c r="ET160" s="1"/>
    </row>
    <row r="161" spans="150:150" x14ac:dyDescent="0.25">
      <c r="ET161" s="1"/>
    </row>
    <row r="162" spans="150:150" x14ac:dyDescent="0.25">
      <c r="ET162" s="1"/>
    </row>
    <row r="163" spans="150:150" x14ac:dyDescent="0.25">
      <c r="ET163" s="1"/>
    </row>
    <row r="164" spans="150:150" x14ac:dyDescent="0.25">
      <c r="ET164" s="1"/>
    </row>
    <row r="165" spans="150:150" x14ac:dyDescent="0.25">
      <c r="ET165" s="1"/>
    </row>
    <row r="166" spans="150:150" x14ac:dyDescent="0.25">
      <c r="ET166" s="1"/>
    </row>
    <row r="167" spans="150:150" x14ac:dyDescent="0.25">
      <c r="ET167" s="1"/>
    </row>
    <row r="168" spans="150:150" x14ac:dyDescent="0.25">
      <c r="ET168" s="1"/>
    </row>
    <row r="169" spans="150:150" x14ac:dyDescent="0.25">
      <c r="ET169" s="1"/>
    </row>
    <row r="170" spans="150:150" x14ac:dyDescent="0.25">
      <c r="ET170" s="1"/>
    </row>
    <row r="171" spans="150:150" x14ac:dyDescent="0.25">
      <c r="ET171" s="1"/>
    </row>
    <row r="172" spans="150:150" x14ac:dyDescent="0.25">
      <c r="ET172" s="1"/>
    </row>
    <row r="173" spans="150:150" x14ac:dyDescent="0.25">
      <c r="ET173" s="1"/>
    </row>
    <row r="174" spans="150:150" x14ac:dyDescent="0.25">
      <c r="ET174" s="1"/>
    </row>
    <row r="175" spans="150:150" x14ac:dyDescent="0.25">
      <c r="ET175" s="1"/>
    </row>
    <row r="176" spans="150:150" x14ac:dyDescent="0.25">
      <c r="ET176" s="1"/>
    </row>
    <row r="177" spans="150:150" x14ac:dyDescent="0.25">
      <c r="ET177" s="1"/>
    </row>
    <row r="178" spans="150:150" x14ac:dyDescent="0.25">
      <c r="ET178" s="1"/>
    </row>
    <row r="179" spans="150:150" x14ac:dyDescent="0.25">
      <c r="ET179" s="1"/>
    </row>
    <row r="180" spans="150:150" x14ac:dyDescent="0.25">
      <c r="ET180" s="1"/>
    </row>
    <row r="181" spans="150:150" x14ac:dyDescent="0.25">
      <c r="ET181" s="1"/>
    </row>
    <row r="182" spans="150:150" x14ac:dyDescent="0.25">
      <c r="ET182" s="1"/>
    </row>
    <row r="183" spans="150:150" x14ac:dyDescent="0.25">
      <c r="ET183" s="1"/>
    </row>
    <row r="184" spans="150:150" x14ac:dyDescent="0.25">
      <c r="ET184" s="1"/>
    </row>
    <row r="185" spans="150:150" x14ac:dyDescent="0.25">
      <c r="ET185" s="1"/>
    </row>
    <row r="186" spans="150:150" x14ac:dyDescent="0.25">
      <c r="ET186" s="1"/>
    </row>
    <row r="187" spans="150:150" x14ac:dyDescent="0.25">
      <c r="ET187" s="1"/>
    </row>
    <row r="188" spans="150:150" x14ac:dyDescent="0.25">
      <c r="ET188" s="1"/>
    </row>
    <row r="189" spans="150:150" x14ac:dyDescent="0.25">
      <c r="ET189" s="1"/>
    </row>
    <row r="190" spans="150:150" x14ac:dyDescent="0.25">
      <c r="ET190" s="1"/>
    </row>
    <row r="191" spans="150:150" x14ac:dyDescent="0.25">
      <c r="ET191" s="1"/>
    </row>
    <row r="192" spans="150:150" x14ac:dyDescent="0.25">
      <c r="ET192" s="1"/>
    </row>
    <row r="193" spans="150:150" x14ac:dyDescent="0.25">
      <c r="ET193" s="1"/>
    </row>
    <row r="194" spans="150:150" x14ac:dyDescent="0.25">
      <c r="ET194" s="1"/>
    </row>
    <row r="195" spans="150:150" x14ac:dyDescent="0.25">
      <c r="ET195" s="1"/>
    </row>
    <row r="196" spans="150:150" x14ac:dyDescent="0.25">
      <c r="ET196" s="1"/>
    </row>
    <row r="197" spans="150:150" x14ac:dyDescent="0.25">
      <c r="ET197" s="1"/>
    </row>
    <row r="198" spans="150:150" x14ac:dyDescent="0.25">
      <c r="ET198" s="1"/>
    </row>
    <row r="199" spans="150:150" x14ac:dyDescent="0.25">
      <c r="ET199" s="1"/>
    </row>
    <row r="200" spans="150:150" x14ac:dyDescent="0.25">
      <c r="ET200" s="1"/>
    </row>
    <row r="201" spans="150:150" x14ac:dyDescent="0.25">
      <c r="ET201" s="1"/>
    </row>
    <row r="202" spans="150:150" x14ac:dyDescent="0.25">
      <c r="ET202" s="1"/>
    </row>
    <row r="203" spans="150:150" x14ac:dyDescent="0.25">
      <c r="ET203" s="1"/>
    </row>
    <row r="204" spans="150:150" x14ac:dyDescent="0.25">
      <c r="ET204" s="1"/>
    </row>
    <row r="205" spans="150:150" x14ac:dyDescent="0.25">
      <c r="ET205" s="1"/>
    </row>
    <row r="206" spans="150:150" x14ac:dyDescent="0.25">
      <c r="ET206" s="1"/>
    </row>
    <row r="207" spans="150:150" x14ac:dyDescent="0.25">
      <c r="ET207" s="1"/>
    </row>
    <row r="208" spans="150:150" x14ac:dyDescent="0.25">
      <c r="ET208" s="1"/>
    </row>
    <row r="209" spans="150:150" x14ac:dyDescent="0.25">
      <c r="ET209" s="1"/>
    </row>
    <row r="210" spans="150:150" x14ac:dyDescent="0.25">
      <c r="ET210" s="1"/>
    </row>
    <row r="211" spans="150:150" x14ac:dyDescent="0.25">
      <c r="ET211" s="1"/>
    </row>
    <row r="212" spans="150:150" x14ac:dyDescent="0.25">
      <c r="ET212" s="1"/>
    </row>
    <row r="213" spans="150:150" x14ac:dyDescent="0.25">
      <c r="ET213" s="1"/>
    </row>
    <row r="214" spans="150:150" x14ac:dyDescent="0.25">
      <c r="ET214" s="1"/>
    </row>
    <row r="215" spans="150:150" x14ac:dyDescent="0.25">
      <c r="ET215" s="1"/>
    </row>
    <row r="216" spans="150:150" x14ac:dyDescent="0.25">
      <c r="ET216" s="1"/>
    </row>
    <row r="217" spans="150:150" x14ac:dyDescent="0.25">
      <c r="ET217" s="1"/>
    </row>
    <row r="218" spans="150:150" x14ac:dyDescent="0.25">
      <c r="ET218" s="1"/>
    </row>
    <row r="219" spans="150:150" x14ac:dyDescent="0.25">
      <c r="ET219" s="1"/>
    </row>
    <row r="220" spans="150:150" x14ac:dyDescent="0.25">
      <c r="ET220" s="1"/>
    </row>
    <row r="221" spans="150:150" x14ac:dyDescent="0.25">
      <c r="ET221" s="1"/>
    </row>
    <row r="222" spans="150:150" x14ac:dyDescent="0.25">
      <c r="ET222" s="1"/>
    </row>
    <row r="223" spans="150:150" x14ac:dyDescent="0.25">
      <c r="ET223" s="1"/>
    </row>
    <row r="224" spans="150:150" x14ac:dyDescent="0.25">
      <c r="ET224" s="1"/>
    </row>
    <row r="225" spans="150:150" x14ac:dyDescent="0.25">
      <c r="ET225" s="1"/>
    </row>
    <row r="226" spans="150:150" x14ac:dyDescent="0.25">
      <c r="ET226" s="1"/>
    </row>
    <row r="227" spans="150:150" x14ac:dyDescent="0.25">
      <c r="ET227" s="1"/>
    </row>
    <row r="228" spans="150:150" x14ac:dyDescent="0.25">
      <c r="ET228" s="1"/>
    </row>
    <row r="229" spans="150:150" x14ac:dyDescent="0.25">
      <c r="ET229" s="1"/>
    </row>
    <row r="230" spans="150:150" x14ac:dyDescent="0.25">
      <c r="ET230" s="1"/>
    </row>
    <row r="231" spans="150:150" x14ac:dyDescent="0.25">
      <c r="ET231" s="1"/>
    </row>
    <row r="232" spans="150:150" x14ac:dyDescent="0.25">
      <c r="ET232" s="1"/>
    </row>
    <row r="233" spans="150:150" x14ac:dyDescent="0.25">
      <c r="ET233" s="1"/>
    </row>
    <row r="234" spans="150:150" x14ac:dyDescent="0.25">
      <c r="ET234" s="1"/>
    </row>
    <row r="235" spans="150:150" x14ac:dyDescent="0.25">
      <c r="ET235" s="1"/>
    </row>
    <row r="236" spans="150:150" x14ac:dyDescent="0.25">
      <c r="ET236" s="1"/>
    </row>
    <row r="237" spans="150:150" x14ac:dyDescent="0.25">
      <c r="ET237" s="1"/>
    </row>
    <row r="238" spans="150:150" x14ac:dyDescent="0.25">
      <c r="ET238" s="1"/>
    </row>
    <row r="239" spans="150:150" x14ac:dyDescent="0.25">
      <c r="ET239" s="1"/>
    </row>
    <row r="240" spans="150:150" x14ac:dyDescent="0.25">
      <c r="ET240" s="1"/>
    </row>
    <row r="241" spans="150:150" x14ac:dyDescent="0.25">
      <c r="ET241" s="1"/>
    </row>
    <row r="242" spans="150:150" x14ac:dyDescent="0.25">
      <c r="ET242" s="1"/>
    </row>
    <row r="243" spans="150:150" x14ac:dyDescent="0.25">
      <c r="ET243" s="1"/>
    </row>
    <row r="244" spans="150:150" x14ac:dyDescent="0.25">
      <c r="ET244" s="1"/>
    </row>
    <row r="245" spans="150:150" x14ac:dyDescent="0.25">
      <c r="ET245" s="1"/>
    </row>
    <row r="246" spans="150:150" x14ac:dyDescent="0.25">
      <c r="ET246" s="1"/>
    </row>
    <row r="247" spans="150:150" x14ac:dyDescent="0.25">
      <c r="ET247" s="1"/>
    </row>
    <row r="248" spans="150:150" x14ac:dyDescent="0.25">
      <c r="ET248" s="1"/>
    </row>
    <row r="249" spans="150:150" x14ac:dyDescent="0.25">
      <c r="ET249" s="1"/>
    </row>
    <row r="250" spans="150:150" x14ac:dyDescent="0.25">
      <c r="ET250" s="1"/>
    </row>
    <row r="251" spans="150:150" x14ac:dyDescent="0.25">
      <c r="ET251" s="1"/>
    </row>
    <row r="252" spans="150:150" x14ac:dyDescent="0.25">
      <c r="ET252" s="1"/>
    </row>
    <row r="253" spans="150:150" x14ac:dyDescent="0.25">
      <c r="ET253" s="1"/>
    </row>
    <row r="254" spans="150:150" x14ac:dyDescent="0.25">
      <c r="ET254" s="1"/>
    </row>
    <row r="255" spans="150:150" x14ac:dyDescent="0.25">
      <c r="ET255" s="1"/>
    </row>
    <row r="256" spans="150:150" x14ac:dyDescent="0.25">
      <c r="ET256" s="1"/>
    </row>
    <row r="257" spans="150:150" x14ac:dyDescent="0.25">
      <c r="ET257" s="1"/>
    </row>
    <row r="258" spans="150:150" x14ac:dyDescent="0.25">
      <c r="ET258" s="1"/>
    </row>
    <row r="259" spans="150:150" x14ac:dyDescent="0.25">
      <c r="ET259" s="1"/>
    </row>
    <row r="260" spans="150:150" x14ac:dyDescent="0.25">
      <c r="ET260" s="1"/>
    </row>
    <row r="261" spans="150:150" x14ac:dyDescent="0.25">
      <c r="ET261" s="1"/>
    </row>
    <row r="262" spans="150:150" x14ac:dyDescent="0.25">
      <c r="ET262" s="1"/>
    </row>
    <row r="263" spans="150:150" x14ac:dyDescent="0.25">
      <c r="ET263" s="1"/>
    </row>
    <row r="264" spans="150:150" x14ac:dyDescent="0.25">
      <c r="ET264" s="1"/>
    </row>
    <row r="265" spans="150:150" x14ac:dyDescent="0.25">
      <c r="ET265" s="1"/>
    </row>
    <row r="266" spans="150:150" x14ac:dyDescent="0.25">
      <c r="ET266" s="1"/>
    </row>
    <row r="267" spans="150:150" x14ac:dyDescent="0.25">
      <c r="ET267" s="1"/>
    </row>
    <row r="268" spans="150:150" x14ac:dyDescent="0.25">
      <c r="ET268" s="1"/>
    </row>
    <row r="269" spans="150:150" x14ac:dyDescent="0.25">
      <c r="ET269" s="1"/>
    </row>
    <row r="270" spans="150:150" x14ac:dyDescent="0.25">
      <c r="ET270" s="1"/>
    </row>
    <row r="271" spans="150:150" x14ac:dyDescent="0.25">
      <c r="ET271" s="1"/>
    </row>
    <row r="272" spans="150:150" x14ac:dyDescent="0.25">
      <c r="ET272" s="1"/>
    </row>
    <row r="273" spans="150:150" x14ac:dyDescent="0.25">
      <c r="ET273" s="1"/>
    </row>
    <row r="274" spans="150:150" x14ac:dyDescent="0.25">
      <c r="ET274" s="1"/>
    </row>
    <row r="275" spans="150:150" x14ac:dyDescent="0.25">
      <c r="ET275" s="1"/>
    </row>
    <row r="276" spans="150:150" x14ac:dyDescent="0.25">
      <c r="ET276" s="1"/>
    </row>
    <row r="277" spans="150:150" x14ac:dyDescent="0.25">
      <c r="ET277" s="1"/>
    </row>
    <row r="278" spans="150:150" x14ac:dyDescent="0.25">
      <c r="ET278" s="1"/>
    </row>
    <row r="279" spans="150:150" x14ac:dyDescent="0.25">
      <c r="ET279" s="1"/>
    </row>
    <row r="280" spans="150:150" x14ac:dyDescent="0.25">
      <c r="ET280" s="1"/>
    </row>
    <row r="281" spans="150:150" x14ac:dyDescent="0.25">
      <c r="ET281" s="1"/>
    </row>
    <row r="282" spans="150:150" x14ac:dyDescent="0.25">
      <c r="ET282" s="1"/>
    </row>
    <row r="283" spans="150:150" x14ac:dyDescent="0.25">
      <c r="ET283" s="1"/>
    </row>
    <row r="284" spans="150:150" x14ac:dyDescent="0.25">
      <c r="ET284" s="1"/>
    </row>
    <row r="285" spans="150:150" x14ac:dyDescent="0.25">
      <c r="ET285" s="1"/>
    </row>
    <row r="286" spans="150:150" x14ac:dyDescent="0.25">
      <c r="ET286" s="1"/>
    </row>
    <row r="287" spans="150:150" x14ac:dyDescent="0.25">
      <c r="ET287" s="1"/>
    </row>
    <row r="288" spans="150:150" x14ac:dyDescent="0.25">
      <c r="ET288" s="1"/>
    </row>
    <row r="289" spans="150:150" x14ac:dyDescent="0.25">
      <c r="ET289" s="1"/>
    </row>
    <row r="290" spans="150:150" x14ac:dyDescent="0.25">
      <c r="ET290" s="1"/>
    </row>
    <row r="291" spans="150:150" x14ac:dyDescent="0.25">
      <c r="ET291" s="1"/>
    </row>
    <row r="292" spans="150:150" x14ac:dyDescent="0.25">
      <c r="ET292" s="1"/>
    </row>
    <row r="293" spans="150:150" x14ac:dyDescent="0.25">
      <c r="ET293" s="1"/>
    </row>
    <row r="294" spans="150:150" x14ac:dyDescent="0.25">
      <c r="ET294" s="1"/>
    </row>
    <row r="295" spans="150:150" x14ac:dyDescent="0.25">
      <c r="ET295" s="1"/>
    </row>
    <row r="296" spans="150:150" x14ac:dyDescent="0.25">
      <c r="ET296" s="1"/>
    </row>
    <row r="297" spans="150:150" x14ac:dyDescent="0.25">
      <c r="ET297" s="1"/>
    </row>
    <row r="298" spans="150:150" x14ac:dyDescent="0.25">
      <c r="ET298" s="1"/>
    </row>
    <row r="299" spans="150:150" x14ac:dyDescent="0.25">
      <c r="ET299" s="1"/>
    </row>
    <row r="300" spans="150:150" x14ac:dyDescent="0.25">
      <c r="ET300" s="1"/>
    </row>
    <row r="301" spans="150:150" x14ac:dyDescent="0.25">
      <c r="ET301" s="1"/>
    </row>
    <row r="302" spans="150:150" x14ac:dyDescent="0.25">
      <c r="ET302" s="1"/>
    </row>
    <row r="303" spans="150:150" x14ac:dyDescent="0.25">
      <c r="ET303" s="1"/>
    </row>
    <row r="304" spans="150:150" x14ac:dyDescent="0.25">
      <c r="ET304" s="1"/>
    </row>
    <row r="305" spans="150:150" x14ac:dyDescent="0.25">
      <c r="ET305" s="1"/>
    </row>
    <row r="306" spans="150:150" x14ac:dyDescent="0.25">
      <c r="ET306" s="1"/>
    </row>
    <row r="307" spans="150:150" x14ac:dyDescent="0.25">
      <c r="ET307" s="1"/>
    </row>
    <row r="308" spans="150:150" x14ac:dyDescent="0.25">
      <c r="ET308" s="1"/>
    </row>
    <row r="309" spans="150:150" x14ac:dyDescent="0.25">
      <c r="ET309" s="1"/>
    </row>
    <row r="310" spans="150:150" x14ac:dyDescent="0.25">
      <c r="ET310" s="1"/>
    </row>
    <row r="311" spans="150:150" x14ac:dyDescent="0.25">
      <c r="ET311" s="1"/>
    </row>
    <row r="312" spans="150:150" x14ac:dyDescent="0.25">
      <c r="ET312" s="1"/>
    </row>
    <row r="313" spans="150:150" x14ac:dyDescent="0.25">
      <c r="ET313" s="1"/>
    </row>
    <row r="314" spans="150:150" x14ac:dyDescent="0.25">
      <c r="ET314" s="1"/>
    </row>
    <row r="315" spans="150:150" x14ac:dyDescent="0.25">
      <c r="ET315" s="1"/>
    </row>
    <row r="316" spans="150:150" x14ac:dyDescent="0.25">
      <c r="ET316" s="1"/>
    </row>
    <row r="317" spans="150:150" x14ac:dyDescent="0.25">
      <c r="ET317" s="1"/>
    </row>
    <row r="318" spans="150:150" x14ac:dyDescent="0.25">
      <c r="ET318" s="1"/>
    </row>
    <row r="319" spans="150:150" x14ac:dyDescent="0.25">
      <c r="ET319" s="1"/>
    </row>
    <row r="320" spans="150:150" x14ac:dyDescent="0.25">
      <c r="ET320" s="1"/>
    </row>
    <row r="321" spans="150:150" x14ac:dyDescent="0.25">
      <c r="ET321" s="1"/>
    </row>
    <row r="322" spans="150:150" x14ac:dyDescent="0.25">
      <c r="ET322" s="1"/>
    </row>
    <row r="323" spans="150:150" x14ac:dyDescent="0.25">
      <c r="ET323" s="1"/>
    </row>
    <row r="324" spans="150:150" x14ac:dyDescent="0.25">
      <c r="ET324" s="1"/>
    </row>
    <row r="325" spans="150:150" x14ac:dyDescent="0.25">
      <c r="ET325" s="1"/>
    </row>
    <row r="326" spans="150:150" x14ac:dyDescent="0.25">
      <c r="ET326" s="1"/>
    </row>
    <row r="327" spans="150:150" x14ac:dyDescent="0.25">
      <c r="ET327" s="1"/>
    </row>
    <row r="328" spans="150:150" x14ac:dyDescent="0.25">
      <c r="ET328" s="1"/>
    </row>
    <row r="329" spans="150:150" x14ac:dyDescent="0.25">
      <c r="ET329" s="1"/>
    </row>
    <row r="330" spans="150:150" x14ac:dyDescent="0.25">
      <c r="ET330" s="1"/>
    </row>
    <row r="331" spans="150:150" x14ac:dyDescent="0.25">
      <c r="ET331" s="1"/>
    </row>
    <row r="332" spans="150:150" x14ac:dyDescent="0.25">
      <c r="ET332" s="1"/>
    </row>
    <row r="333" spans="150:150" x14ac:dyDescent="0.25">
      <c r="ET333" s="1"/>
    </row>
    <row r="334" spans="150:150" x14ac:dyDescent="0.25">
      <c r="ET334" s="1"/>
    </row>
    <row r="335" spans="150:150" x14ac:dyDescent="0.25">
      <c r="ET335" s="1"/>
    </row>
    <row r="336" spans="150:150" x14ac:dyDescent="0.25">
      <c r="ET336" s="1"/>
    </row>
    <row r="337" spans="150:150" x14ac:dyDescent="0.25">
      <c r="ET337" s="1"/>
    </row>
    <row r="338" spans="150:150" x14ac:dyDescent="0.25">
      <c r="ET338" s="1"/>
    </row>
    <row r="339" spans="150:150" x14ac:dyDescent="0.25">
      <c r="ET339" s="1"/>
    </row>
    <row r="340" spans="150:150" x14ac:dyDescent="0.25">
      <c r="ET340" s="1"/>
    </row>
    <row r="341" spans="150:150" x14ac:dyDescent="0.25">
      <c r="ET341" s="1"/>
    </row>
    <row r="342" spans="150:150" x14ac:dyDescent="0.25">
      <c r="ET342" s="1"/>
    </row>
    <row r="343" spans="150:150" x14ac:dyDescent="0.25">
      <c r="ET343" s="1"/>
    </row>
    <row r="344" spans="150:150" x14ac:dyDescent="0.25">
      <c r="ET344" s="1"/>
    </row>
    <row r="345" spans="150:150" x14ac:dyDescent="0.25">
      <c r="ET345" s="1"/>
    </row>
    <row r="346" spans="150:150" x14ac:dyDescent="0.25">
      <c r="ET346" s="1"/>
    </row>
    <row r="347" spans="150:150" x14ac:dyDescent="0.25">
      <c r="ET347" s="1"/>
    </row>
    <row r="348" spans="150:150" x14ac:dyDescent="0.25">
      <c r="ET348" s="1"/>
    </row>
    <row r="349" spans="150:150" x14ac:dyDescent="0.25">
      <c r="ET349" s="1"/>
    </row>
    <row r="350" spans="150:150" x14ac:dyDescent="0.25">
      <c r="ET350" s="1"/>
    </row>
    <row r="351" spans="150:150" x14ac:dyDescent="0.25">
      <c r="ET351" s="1"/>
    </row>
    <row r="352" spans="150:150" x14ac:dyDescent="0.25">
      <c r="ET352" s="1"/>
    </row>
    <row r="353" spans="150:150" x14ac:dyDescent="0.25">
      <c r="ET353" s="1"/>
    </row>
    <row r="354" spans="150:150" x14ac:dyDescent="0.25">
      <c r="ET354" s="1"/>
    </row>
    <row r="355" spans="150:150" x14ac:dyDescent="0.25">
      <c r="ET355" s="1"/>
    </row>
    <row r="356" spans="150:150" x14ac:dyDescent="0.25">
      <c r="ET356" s="1"/>
    </row>
    <row r="357" spans="150:150" x14ac:dyDescent="0.25">
      <c r="ET357" s="1"/>
    </row>
    <row r="358" spans="150:150" x14ac:dyDescent="0.25">
      <c r="ET358" s="1"/>
    </row>
    <row r="359" spans="150:150" x14ac:dyDescent="0.25">
      <c r="ET359" s="1"/>
    </row>
    <row r="360" spans="150:150" x14ac:dyDescent="0.25">
      <c r="ET360" s="1"/>
    </row>
    <row r="361" spans="150:150" x14ac:dyDescent="0.25">
      <c r="ET361" s="1"/>
    </row>
    <row r="362" spans="150:150" x14ac:dyDescent="0.25">
      <c r="ET362" s="1"/>
    </row>
    <row r="363" spans="150:150" x14ac:dyDescent="0.25">
      <c r="ET363" s="1"/>
    </row>
    <row r="364" spans="150:150" x14ac:dyDescent="0.25">
      <c r="ET364" s="1"/>
    </row>
    <row r="365" spans="150:150" x14ac:dyDescent="0.25">
      <c r="ET365" s="1"/>
    </row>
    <row r="366" spans="150:150" x14ac:dyDescent="0.25">
      <c r="ET366" s="1"/>
    </row>
    <row r="367" spans="150:150" x14ac:dyDescent="0.25">
      <c r="ET367" s="1"/>
    </row>
    <row r="368" spans="150:150" x14ac:dyDescent="0.25">
      <c r="ET368" s="1"/>
    </row>
    <row r="369" spans="150:150" x14ac:dyDescent="0.25">
      <c r="ET369" s="1"/>
    </row>
    <row r="370" spans="150:150" x14ac:dyDescent="0.25">
      <c r="ET370" s="1"/>
    </row>
    <row r="371" spans="150:150" x14ac:dyDescent="0.25">
      <c r="ET371" s="1"/>
    </row>
    <row r="372" spans="150:150" x14ac:dyDescent="0.25">
      <c r="ET372" s="1"/>
    </row>
    <row r="373" spans="150:150" x14ac:dyDescent="0.25">
      <c r="ET373" s="1"/>
    </row>
    <row r="374" spans="150:150" x14ac:dyDescent="0.25">
      <c r="ET374" s="1"/>
    </row>
    <row r="375" spans="150:150" x14ac:dyDescent="0.25">
      <c r="ET375" s="1"/>
    </row>
    <row r="376" spans="150:150" x14ac:dyDescent="0.25">
      <c r="ET376" s="31"/>
    </row>
  </sheetData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E89C2-5066-4C3E-9942-33F889B469C5}">
  <dimension ref="A1:R376"/>
  <sheetViews>
    <sheetView topLeftCell="P10" zoomScale="80" zoomScaleNormal="80" workbookViewId="0">
      <selection activeCell="K1" sqref="K1"/>
    </sheetView>
  </sheetViews>
  <sheetFormatPr baseColWidth="10" defaultColWidth="11.42578125" defaultRowHeight="15" x14ac:dyDescent="0.25"/>
  <cols>
    <col min="2" max="2" width="16.85546875" customWidth="1"/>
    <col min="8" max="8" width="15.28515625" customWidth="1"/>
    <col min="9" max="14" width="17.7109375" customWidth="1"/>
    <col min="15" max="15" width="22.42578125" style="10" customWidth="1"/>
    <col min="16" max="16" width="64.42578125" style="10" bestFit="1" customWidth="1"/>
    <col min="17" max="17" width="27.7109375" style="19" customWidth="1"/>
    <col min="18" max="18" width="39" style="19" customWidth="1"/>
  </cols>
  <sheetData>
    <row r="1" spans="1:18" ht="45" x14ac:dyDescent="0.25">
      <c r="A1" s="5" t="s">
        <v>128</v>
      </c>
      <c r="B1" s="33" t="s">
        <v>129</v>
      </c>
      <c r="C1" s="5" t="s">
        <v>3</v>
      </c>
      <c r="D1" s="5" t="s">
        <v>4</v>
      </c>
      <c r="E1" s="3" t="s">
        <v>5</v>
      </c>
      <c r="F1" s="3" t="s">
        <v>6</v>
      </c>
      <c r="G1" s="3" t="s">
        <v>7</v>
      </c>
      <c r="H1" s="4" t="s">
        <v>8</v>
      </c>
      <c r="I1" s="20" t="s">
        <v>9</v>
      </c>
      <c r="J1" s="45" t="s">
        <v>130</v>
      </c>
      <c r="K1" s="45" t="s">
        <v>131</v>
      </c>
      <c r="L1" s="45" t="s">
        <v>132</v>
      </c>
      <c r="M1" s="45" t="s">
        <v>133</v>
      </c>
      <c r="N1" s="45" t="s">
        <v>134</v>
      </c>
      <c r="O1" s="48" t="s">
        <v>135</v>
      </c>
      <c r="P1" s="24" t="s">
        <v>136</v>
      </c>
      <c r="Q1" s="27" t="s">
        <v>137</v>
      </c>
      <c r="R1" s="25" t="s">
        <v>138</v>
      </c>
    </row>
    <row r="2" spans="1:18" x14ac:dyDescent="0.25">
      <c r="A2" s="6">
        <v>1</v>
      </c>
      <c r="B2" s="9">
        <v>1140926993</v>
      </c>
      <c r="C2" s="9">
        <v>9</v>
      </c>
      <c r="D2" s="9" t="s">
        <v>11</v>
      </c>
      <c r="E2" s="8">
        <v>74</v>
      </c>
      <c r="F2" s="8">
        <v>72</v>
      </c>
      <c r="G2" s="8">
        <v>2</v>
      </c>
      <c r="H2" s="8">
        <v>43</v>
      </c>
      <c r="I2" s="22">
        <v>5</v>
      </c>
      <c r="J2" s="42">
        <v>5</v>
      </c>
      <c r="K2" s="42">
        <v>9.5</v>
      </c>
      <c r="L2" s="42" t="s">
        <v>139</v>
      </c>
      <c r="M2" s="42">
        <v>2</v>
      </c>
      <c r="N2" s="42" t="s">
        <v>140</v>
      </c>
      <c r="O2" s="49" t="s">
        <v>141</v>
      </c>
      <c r="P2" s="10" t="s">
        <v>142</v>
      </c>
      <c r="Q2" s="26">
        <v>4</v>
      </c>
    </row>
    <row r="3" spans="1:18" x14ac:dyDescent="0.25">
      <c r="A3" s="6">
        <v>2</v>
      </c>
      <c r="B3" s="9">
        <v>1025071557</v>
      </c>
      <c r="C3" s="9">
        <v>10</v>
      </c>
      <c r="D3" s="9" t="s">
        <v>11</v>
      </c>
      <c r="E3" s="8">
        <v>87</v>
      </c>
      <c r="F3" s="8">
        <v>81</v>
      </c>
      <c r="G3" s="8">
        <v>6</v>
      </c>
      <c r="H3" s="8">
        <v>35</v>
      </c>
      <c r="I3" s="22">
        <v>7</v>
      </c>
      <c r="J3" s="42">
        <v>-5</v>
      </c>
      <c r="K3" s="42">
        <v>3.5</v>
      </c>
      <c r="L3" s="42" t="s">
        <v>143</v>
      </c>
      <c r="M3" s="42">
        <v>6</v>
      </c>
      <c r="N3" s="42" t="s">
        <v>144</v>
      </c>
      <c r="O3" s="49" t="s">
        <v>145</v>
      </c>
      <c r="P3" s="10" t="s">
        <v>146</v>
      </c>
      <c r="Q3" s="26">
        <v>1</v>
      </c>
    </row>
    <row r="4" spans="1:18" x14ac:dyDescent="0.25">
      <c r="A4" s="6">
        <v>3</v>
      </c>
      <c r="B4" s="9">
        <v>1019986884</v>
      </c>
      <c r="C4" s="9">
        <v>12</v>
      </c>
      <c r="D4" s="9" t="s">
        <v>11</v>
      </c>
      <c r="E4" s="7">
        <v>69</v>
      </c>
      <c r="F4" s="7">
        <v>70</v>
      </c>
      <c r="G4" s="7">
        <v>1</v>
      </c>
      <c r="H4" s="7">
        <v>45</v>
      </c>
      <c r="I4" s="21">
        <v>7</v>
      </c>
      <c r="J4" s="10">
        <v>7</v>
      </c>
      <c r="K4" s="10">
        <v>8.5</v>
      </c>
      <c r="L4" s="10" t="s">
        <v>183</v>
      </c>
      <c r="M4" s="10">
        <v>1</v>
      </c>
      <c r="N4" s="10" t="s">
        <v>187</v>
      </c>
      <c r="O4" s="49" t="s">
        <v>147</v>
      </c>
      <c r="P4" s="10" t="s">
        <v>148</v>
      </c>
      <c r="Q4" s="26">
        <v>2</v>
      </c>
    </row>
    <row r="5" spans="1:18" x14ac:dyDescent="0.25">
      <c r="A5" s="6">
        <v>4</v>
      </c>
      <c r="B5" s="9">
        <v>1023369404</v>
      </c>
      <c r="C5" s="9">
        <v>12</v>
      </c>
      <c r="D5" s="9" t="s">
        <v>11</v>
      </c>
      <c r="E5" s="7">
        <v>80</v>
      </c>
      <c r="F5" s="7">
        <v>77</v>
      </c>
      <c r="G5" s="7">
        <v>3</v>
      </c>
      <c r="H5" s="7">
        <v>33</v>
      </c>
      <c r="I5" s="21">
        <v>4</v>
      </c>
      <c r="J5" s="10">
        <v>5</v>
      </c>
      <c r="K5" s="10">
        <v>5.5</v>
      </c>
      <c r="L5" s="10" t="s">
        <v>139</v>
      </c>
      <c r="M5" s="10">
        <v>3</v>
      </c>
      <c r="N5" s="10" t="s">
        <v>140</v>
      </c>
      <c r="O5" s="49" t="s">
        <v>141</v>
      </c>
      <c r="P5" s="10" t="s">
        <v>149</v>
      </c>
      <c r="Q5" s="26">
        <v>4</v>
      </c>
    </row>
    <row r="6" spans="1:18" x14ac:dyDescent="0.25">
      <c r="A6" s="6">
        <v>5</v>
      </c>
      <c r="B6" s="9">
        <v>1028683488</v>
      </c>
      <c r="C6" s="9">
        <v>9</v>
      </c>
      <c r="D6" s="9" t="s">
        <v>11</v>
      </c>
      <c r="E6" s="8">
        <v>80</v>
      </c>
      <c r="F6" s="8">
        <v>74</v>
      </c>
      <c r="G6" s="8">
        <v>6</v>
      </c>
      <c r="H6" s="8">
        <v>42</v>
      </c>
      <c r="I6" s="22">
        <v>9</v>
      </c>
      <c r="J6" s="42">
        <v>2</v>
      </c>
      <c r="K6" s="42">
        <v>5</v>
      </c>
      <c r="L6" s="42" t="s">
        <v>139</v>
      </c>
      <c r="M6" s="42">
        <v>6</v>
      </c>
      <c r="N6" s="42" t="s">
        <v>140</v>
      </c>
      <c r="O6" s="49" t="s">
        <v>150</v>
      </c>
      <c r="P6" s="10" t="s">
        <v>151</v>
      </c>
      <c r="Q6" s="26">
        <v>3</v>
      </c>
    </row>
    <row r="7" spans="1:18" x14ac:dyDescent="0.25">
      <c r="A7" s="6">
        <v>6</v>
      </c>
      <c r="B7" s="9">
        <v>1011236422</v>
      </c>
      <c r="C7" s="9">
        <v>8</v>
      </c>
      <c r="D7" s="9" t="s">
        <v>11</v>
      </c>
      <c r="E7" s="8">
        <v>77</v>
      </c>
      <c r="F7" s="8">
        <v>74</v>
      </c>
      <c r="G7" s="8">
        <v>3</v>
      </c>
      <c r="H7" s="8">
        <v>41</v>
      </c>
      <c r="I7" s="22">
        <v>10</v>
      </c>
      <c r="J7" s="42">
        <v>3</v>
      </c>
      <c r="K7" s="42">
        <v>3.5</v>
      </c>
      <c r="L7" s="42" t="s">
        <v>139</v>
      </c>
      <c r="M7" s="42">
        <v>3</v>
      </c>
      <c r="N7" s="42" t="s">
        <v>140</v>
      </c>
      <c r="O7" s="49" t="s">
        <v>141</v>
      </c>
      <c r="P7" s="10" t="s">
        <v>142</v>
      </c>
      <c r="Q7" s="26">
        <v>4</v>
      </c>
    </row>
    <row r="8" spans="1:18" x14ac:dyDescent="0.25">
      <c r="A8" s="6">
        <v>7</v>
      </c>
      <c r="B8" s="53">
        <v>1025327137</v>
      </c>
      <c r="C8" s="9">
        <v>11</v>
      </c>
      <c r="D8" s="9" t="s">
        <v>11</v>
      </c>
      <c r="E8" s="8">
        <v>80</v>
      </c>
      <c r="F8" s="8">
        <v>74</v>
      </c>
      <c r="G8" s="8">
        <v>6</v>
      </c>
      <c r="H8" s="8">
        <v>40</v>
      </c>
      <c r="I8" s="22">
        <v>14</v>
      </c>
      <c r="J8" s="42">
        <v>4</v>
      </c>
      <c r="K8" s="42">
        <v>-1</v>
      </c>
      <c r="L8" s="42" t="s">
        <v>139</v>
      </c>
      <c r="M8" s="42">
        <v>6</v>
      </c>
      <c r="N8" s="42" t="s">
        <v>152</v>
      </c>
      <c r="O8" s="49" t="s">
        <v>153</v>
      </c>
      <c r="P8" s="10" t="s">
        <v>154</v>
      </c>
      <c r="Q8" s="26">
        <v>3</v>
      </c>
    </row>
    <row r="9" spans="1:18" x14ac:dyDescent="0.25">
      <c r="A9" s="6">
        <v>8</v>
      </c>
      <c r="B9" s="9">
        <v>1023948634</v>
      </c>
      <c r="C9" s="9">
        <v>9</v>
      </c>
      <c r="D9" s="9" t="s">
        <v>11</v>
      </c>
      <c r="E9" s="8">
        <v>84</v>
      </c>
      <c r="F9" s="8">
        <v>79</v>
      </c>
      <c r="G9" s="8">
        <v>5</v>
      </c>
      <c r="H9" s="8">
        <v>40</v>
      </c>
      <c r="I9" s="22">
        <v>8</v>
      </c>
      <c r="J9" s="42">
        <v>-6</v>
      </c>
      <c r="K9" s="42">
        <v>5</v>
      </c>
      <c r="L9" s="42" t="s">
        <v>143</v>
      </c>
      <c r="M9" s="42">
        <v>5</v>
      </c>
      <c r="N9" s="42" t="s">
        <v>144</v>
      </c>
      <c r="O9" s="49" t="s">
        <v>155</v>
      </c>
      <c r="P9" s="10" t="s">
        <v>156</v>
      </c>
      <c r="Q9" s="26">
        <v>2</v>
      </c>
    </row>
    <row r="10" spans="1:18" x14ac:dyDescent="0.25">
      <c r="A10" s="6">
        <v>9</v>
      </c>
      <c r="B10" s="9">
        <v>1016733456</v>
      </c>
      <c r="C10" s="9">
        <v>9</v>
      </c>
      <c r="D10" s="9" t="s">
        <v>11</v>
      </c>
      <c r="E10" s="7">
        <v>83</v>
      </c>
      <c r="F10" s="7">
        <v>77</v>
      </c>
      <c r="G10" s="7">
        <v>5</v>
      </c>
      <c r="H10" s="7">
        <v>40</v>
      </c>
      <c r="I10" s="21">
        <v>9</v>
      </c>
      <c r="J10" s="10">
        <v>-2</v>
      </c>
      <c r="K10" s="10">
        <v>4</v>
      </c>
      <c r="L10" s="10" t="s">
        <v>143</v>
      </c>
      <c r="M10" s="10">
        <v>5</v>
      </c>
      <c r="N10" s="10" t="s">
        <v>144</v>
      </c>
      <c r="O10" s="49" t="s">
        <v>155</v>
      </c>
      <c r="P10" s="10" t="s">
        <v>156</v>
      </c>
      <c r="Q10" s="26">
        <v>2</v>
      </c>
    </row>
    <row r="11" spans="1:18" x14ac:dyDescent="0.25">
      <c r="A11" s="6">
        <v>10</v>
      </c>
      <c r="B11" s="9">
        <v>1010209452</v>
      </c>
      <c r="C11" s="9">
        <v>12</v>
      </c>
      <c r="D11" s="9" t="s">
        <v>50</v>
      </c>
      <c r="E11" s="7">
        <v>81</v>
      </c>
      <c r="F11" s="7">
        <v>76</v>
      </c>
      <c r="G11" s="7">
        <v>5</v>
      </c>
      <c r="H11" s="7">
        <v>40</v>
      </c>
      <c r="I11" s="21">
        <v>11</v>
      </c>
      <c r="J11" s="10">
        <v>0</v>
      </c>
      <c r="K11" s="10">
        <v>2</v>
      </c>
      <c r="L11" s="10" t="s">
        <v>139</v>
      </c>
      <c r="M11" s="10">
        <v>5</v>
      </c>
      <c r="N11" s="10" t="s">
        <v>181</v>
      </c>
      <c r="O11" s="49" t="s">
        <v>157</v>
      </c>
      <c r="P11" s="10" t="s">
        <v>158</v>
      </c>
      <c r="Q11" s="26">
        <v>3</v>
      </c>
    </row>
    <row r="12" spans="1:18" x14ac:dyDescent="0.25">
      <c r="A12" s="6">
        <v>11</v>
      </c>
      <c r="B12" s="9">
        <v>1030668204</v>
      </c>
      <c r="C12" s="9">
        <v>6</v>
      </c>
      <c r="D12" s="9" t="s">
        <v>50</v>
      </c>
      <c r="E12" s="8">
        <v>77</v>
      </c>
      <c r="F12" s="8">
        <v>81</v>
      </c>
      <c r="G12" s="8" t="s">
        <v>54</v>
      </c>
      <c r="H12" s="8">
        <v>44</v>
      </c>
      <c r="I12" s="22">
        <v>5</v>
      </c>
      <c r="J12" s="42">
        <v>-14</v>
      </c>
      <c r="K12" s="42">
        <v>10</v>
      </c>
      <c r="L12" s="42" t="s">
        <v>143</v>
      </c>
      <c r="M12" s="42">
        <v>-4</v>
      </c>
      <c r="N12" s="42" t="s">
        <v>144</v>
      </c>
      <c r="O12" s="49" t="s">
        <v>159</v>
      </c>
      <c r="P12" s="10" t="s">
        <v>160</v>
      </c>
      <c r="Q12" s="26">
        <v>5</v>
      </c>
    </row>
    <row r="13" spans="1:18" x14ac:dyDescent="0.25">
      <c r="A13" s="6">
        <v>12</v>
      </c>
      <c r="B13" s="9">
        <v>1019604529</v>
      </c>
      <c r="C13" s="9">
        <v>12</v>
      </c>
      <c r="D13" s="9" t="s">
        <v>11</v>
      </c>
      <c r="E13" s="8">
        <v>80</v>
      </c>
      <c r="F13" s="8">
        <v>74</v>
      </c>
      <c r="G13" s="8">
        <v>6</v>
      </c>
      <c r="H13" s="8">
        <v>47</v>
      </c>
      <c r="I13" s="22">
        <v>10</v>
      </c>
      <c r="J13" s="42">
        <v>-3</v>
      </c>
      <c r="K13" s="42">
        <v>6.5</v>
      </c>
      <c r="L13" s="42" t="s">
        <v>143</v>
      </c>
      <c r="M13" s="42">
        <v>6</v>
      </c>
      <c r="N13" s="42" t="s">
        <v>144</v>
      </c>
      <c r="O13" s="49" t="s">
        <v>145</v>
      </c>
      <c r="P13" s="10" t="s">
        <v>146</v>
      </c>
      <c r="Q13" s="26">
        <v>1</v>
      </c>
    </row>
    <row r="14" spans="1:18" x14ac:dyDescent="0.25">
      <c r="A14" s="6">
        <v>13</v>
      </c>
      <c r="B14" s="9">
        <v>1023959879</v>
      </c>
      <c r="C14" s="9">
        <v>7</v>
      </c>
      <c r="D14" s="9" t="s">
        <v>50</v>
      </c>
      <c r="E14" s="8">
        <v>82</v>
      </c>
      <c r="F14" s="8">
        <v>83</v>
      </c>
      <c r="G14" s="8" t="s">
        <v>208</v>
      </c>
      <c r="H14" s="8">
        <v>40</v>
      </c>
      <c r="I14" s="22">
        <v>7</v>
      </c>
      <c r="J14" s="42">
        <v>-14</v>
      </c>
      <c r="K14" s="42">
        <v>6</v>
      </c>
      <c r="L14" s="42" t="s">
        <v>143</v>
      </c>
      <c r="M14" s="42">
        <v>-1</v>
      </c>
      <c r="N14" s="42" t="s">
        <v>144</v>
      </c>
      <c r="O14" s="49" t="s">
        <v>159</v>
      </c>
      <c r="P14" s="10" t="s">
        <v>160</v>
      </c>
      <c r="Q14" s="26">
        <v>5</v>
      </c>
    </row>
    <row r="15" spans="1:18" x14ac:dyDescent="0.25">
      <c r="A15" s="6">
        <v>14</v>
      </c>
      <c r="B15" s="9">
        <v>1023381606</v>
      </c>
      <c r="C15" s="9">
        <v>12</v>
      </c>
      <c r="D15" s="9" t="s">
        <v>11</v>
      </c>
      <c r="E15" s="8">
        <v>84</v>
      </c>
      <c r="F15" s="8">
        <v>80</v>
      </c>
      <c r="G15" s="8">
        <v>4</v>
      </c>
      <c r="H15" s="8">
        <v>35</v>
      </c>
      <c r="I15" s="22">
        <v>8</v>
      </c>
      <c r="J15" s="42">
        <v>-3</v>
      </c>
      <c r="K15" s="42">
        <v>2.5</v>
      </c>
      <c r="L15" s="42" t="s">
        <v>143</v>
      </c>
      <c r="M15" s="42">
        <v>4</v>
      </c>
      <c r="N15" s="42" t="s">
        <v>161</v>
      </c>
      <c r="O15" s="49" t="s">
        <v>162</v>
      </c>
      <c r="P15" s="10" t="s">
        <v>163</v>
      </c>
      <c r="Q15" s="26">
        <v>1</v>
      </c>
    </row>
    <row r="16" spans="1:18" x14ac:dyDescent="0.25">
      <c r="A16" s="6">
        <v>15</v>
      </c>
      <c r="B16" s="9">
        <v>1021675756</v>
      </c>
      <c r="C16" s="9">
        <v>12</v>
      </c>
      <c r="D16" s="9" t="s">
        <v>11</v>
      </c>
      <c r="E16" s="8">
        <v>89</v>
      </c>
      <c r="F16" s="8">
        <v>86</v>
      </c>
      <c r="G16" s="8">
        <v>3</v>
      </c>
      <c r="H16" s="8">
        <v>34</v>
      </c>
      <c r="I16" s="22">
        <v>4</v>
      </c>
      <c r="J16" s="42">
        <v>-14</v>
      </c>
      <c r="K16" s="42">
        <v>6</v>
      </c>
      <c r="L16" s="42" t="s">
        <v>143</v>
      </c>
      <c r="M16" s="42">
        <v>3</v>
      </c>
      <c r="N16" s="42" t="s">
        <v>144</v>
      </c>
      <c r="O16" s="49" t="s">
        <v>155</v>
      </c>
      <c r="P16" s="10" t="s">
        <v>156</v>
      </c>
      <c r="Q16" s="26">
        <v>2</v>
      </c>
    </row>
    <row r="17" spans="1:17" x14ac:dyDescent="0.25">
      <c r="A17" s="6">
        <v>16</v>
      </c>
      <c r="B17" s="9"/>
      <c r="C17" s="9">
        <v>8</v>
      </c>
      <c r="D17" s="9" t="s">
        <v>11</v>
      </c>
      <c r="E17" s="8">
        <v>87</v>
      </c>
      <c r="F17" s="8">
        <v>82</v>
      </c>
      <c r="G17" s="8">
        <v>5</v>
      </c>
      <c r="H17" s="8">
        <v>36</v>
      </c>
      <c r="I17" s="22">
        <v>8</v>
      </c>
      <c r="J17" s="42">
        <v>-8</v>
      </c>
      <c r="K17" s="42">
        <v>3</v>
      </c>
      <c r="L17" s="42" t="s">
        <v>183</v>
      </c>
      <c r="M17" s="42">
        <v>5</v>
      </c>
      <c r="N17" s="42" t="s">
        <v>190</v>
      </c>
      <c r="O17" s="49" t="s">
        <v>164</v>
      </c>
      <c r="P17" s="10" t="s">
        <v>165</v>
      </c>
      <c r="Q17" s="26">
        <v>5</v>
      </c>
    </row>
    <row r="18" spans="1:17" x14ac:dyDescent="0.25">
      <c r="A18" s="6">
        <v>17</v>
      </c>
      <c r="B18" s="9">
        <v>1031172773</v>
      </c>
      <c r="C18" s="9">
        <v>6</v>
      </c>
      <c r="D18" s="9" t="s">
        <v>69</v>
      </c>
      <c r="E18" s="8">
        <v>81</v>
      </c>
      <c r="F18" s="8">
        <v>78</v>
      </c>
      <c r="G18" s="8">
        <v>3</v>
      </c>
      <c r="H18" s="8">
        <v>40</v>
      </c>
      <c r="I18" s="22">
        <v>16</v>
      </c>
      <c r="J18" s="42">
        <v>-4</v>
      </c>
      <c r="K18" s="42">
        <v>-3</v>
      </c>
      <c r="L18" s="42" t="s">
        <v>143</v>
      </c>
      <c r="M18" s="42">
        <v>3</v>
      </c>
      <c r="N18" s="42" t="s">
        <v>166</v>
      </c>
      <c r="O18" s="49" t="s">
        <v>167</v>
      </c>
      <c r="P18" s="10" t="s">
        <v>168</v>
      </c>
      <c r="Q18" s="26">
        <v>1</v>
      </c>
    </row>
    <row r="19" spans="1:17" x14ac:dyDescent="0.25">
      <c r="A19" s="6">
        <v>18</v>
      </c>
      <c r="B19" s="9">
        <v>1188216704</v>
      </c>
      <c r="C19" s="9">
        <v>7</v>
      </c>
      <c r="D19" s="9" t="s">
        <v>50</v>
      </c>
      <c r="E19" s="7">
        <v>80</v>
      </c>
      <c r="F19" s="1">
        <v>82</v>
      </c>
      <c r="G19" s="7">
        <v>2</v>
      </c>
      <c r="H19" s="7">
        <v>36</v>
      </c>
      <c r="I19" s="21">
        <v>7</v>
      </c>
      <c r="J19" s="10">
        <v>-8</v>
      </c>
      <c r="K19" s="10">
        <v>4</v>
      </c>
      <c r="L19" s="10" t="s">
        <v>183</v>
      </c>
      <c r="M19" s="10">
        <v>2</v>
      </c>
      <c r="N19" s="10" t="s">
        <v>187</v>
      </c>
      <c r="O19" s="49" t="s">
        <v>169</v>
      </c>
      <c r="P19" s="10" t="s">
        <v>170</v>
      </c>
      <c r="Q19" s="26">
        <v>5</v>
      </c>
    </row>
    <row r="20" spans="1:17" x14ac:dyDescent="0.25">
      <c r="A20" s="6">
        <v>19</v>
      </c>
      <c r="B20" s="9">
        <v>1034277995</v>
      </c>
      <c r="C20" s="9">
        <v>14</v>
      </c>
      <c r="D20" s="9" t="s">
        <v>11</v>
      </c>
      <c r="E20" s="7">
        <v>80</v>
      </c>
      <c r="F20" s="7">
        <v>79</v>
      </c>
      <c r="G20" s="7">
        <v>1</v>
      </c>
      <c r="H20" s="7">
        <v>35</v>
      </c>
      <c r="I20" s="21">
        <v>8</v>
      </c>
      <c r="J20" s="10">
        <v>-1</v>
      </c>
      <c r="K20" s="10">
        <v>2.5</v>
      </c>
      <c r="L20" s="10" t="s">
        <v>183</v>
      </c>
      <c r="M20" s="10">
        <v>1</v>
      </c>
      <c r="N20" s="10" t="s">
        <v>190</v>
      </c>
      <c r="O20" s="49" t="s">
        <v>171</v>
      </c>
      <c r="P20" s="10" t="s">
        <v>172</v>
      </c>
      <c r="Q20" s="26">
        <v>5</v>
      </c>
    </row>
    <row r="21" spans="1:17" x14ac:dyDescent="0.25">
      <c r="A21" s="6">
        <v>20</v>
      </c>
      <c r="B21" s="9">
        <v>1049620285</v>
      </c>
      <c r="C21" s="9">
        <v>10</v>
      </c>
      <c r="D21" s="9" t="s">
        <v>11</v>
      </c>
      <c r="E21" s="7">
        <v>79</v>
      </c>
      <c r="F21" s="7">
        <v>76</v>
      </c>
      <c r="G21" s="7">
        <v>3</v>
      </c>
      <c r="H21" s="7">
        <v>42</v>
      </c>
      <c r="I21" s="21">
        <v>9</v>
      </c>
      <c r="J21" s="10">
        <v>-2</v>
      </c>
      <c r="K21" s="10">
        <v>5</v>
      </c>
      <c r="L21" s="10" t="s">
        <v>183</v>
      </c>
      <c r="M21" s="10">
        <v>3</v>
      </c>
      <c r="N21" s="10" t="s">
        <v>187</v>
      </c>
      <c r="O21" s="49" t="s">
        <v>169</v>
      </c>
      <c r="P21" s="10" t="s">
        <v>170</v>
      </c>
      <c r="Q21" s="26">
        <v>5</v>
      </c>
    </row>
    <row r="22" spans="1:17" x14ac:dyDescent="0.25">
      <c r="A22" s="6">
        <v>21</v>
      </c>
      <c r="B22" s="9">
        <v>1013606908</v>
      </c>
      <c r="C22" s="9">
        <v>13</v>
      </c>
      <c r="D22" s="9" t="s">
        <v>11</v>
      </c>
      <c r="E22" s="7">
        <v>76</v>
      </c>
      <c r="F22" s="7">
        <v>75</v>
      </c>
      <c r="G22" s="7" t="s">
        <v>208</v>
      </c>
      <c r="H22" s="7">
        <v>39</v>
      </c>
      <c r="I22" s="21">
        <v>11</v>
      </c>
      <c r="J22" s="10">
        <v>3</v>
      </c>
      <c r="K22" s="10">
        <v>1.5</v>
      </c>
      <c r="L22" s="10" t="s">
        <v>183</v>
      </c>
      <c r="M22" s="10">
        <v>-1</v>
      </c>
      <c r="N22" s="10" t="s">
        <v>190</v>
      </c>
      <c r="O22" s="49" t="s">
        <v>173</v>
      </c>
      <c r="P22" s="10" t="s">
        <v>174</v>
      </c>
      <c r="Q22" s="26">
        <v>6</v>
      </c>
    </row>
    <row r="23" spans="1:17" x14ac:dyDescent="0.25">
      <c r="A23" s="6">
        <v>22</v>
      </c>
      <c r="B23" s="9">
        <v>1028862241</v>
      </c>
      <c r="C23" s="9">
        <v>11</v>
      </c>
      <c r="D23" s="9" t="s">
        <v>11</v>
      </c>
      <c r="E23" s="7">
        <v>81</v>
      </c>
      <c r="F23" s="7">
        <v>74</v>
      </c>
      <c r="G23" s="7">
        <v>7</v>
      </c>
      <c r="H23" s="7">
        <v>45</v>
      </c>
      <c r="I23" s="21">
        <v>17</v>
      </c>
      <c r="J23" s="10">
        <v>-1</v>
      </c>
      <c r="K23" s="10">
        <v>-1.5</v>
      </c>
      <c r="L23" s="10" t="s">
        <v>183</v>
      </c>
      <c r="M23" s="10">
        <v>7</v>
      </c>
      <c r="N23" s="10" t="s">
        <v>184</v>
      </c>
      <c r="O23" s="49" t="s">
        <v>175</v>
      </c>
      <c r="P23" s="10" t="s">
        <v>176</v>
      </c>
      <c r="Q23" s="26">
        <v>2</v>
      </c>
    </row>
    <row r="24" spans="1:17" x14ac:dyDescent="0.25">
      <c r="A24" s="6">
        <v>23</v>
      </c>
      <c r="B24" s="9">
        <v>1141332591</v>
      </c>
      <c r="C24" s="9">
        <v>11</v>
      </c>
      <c r="D24" s="9" t="s">
        <v>11</v>
      </c>
      <c r="E24" s="7">
        <v>84</v>
      </c>
      <c r="F24" s="7">
        <v>80</v>
      </c>
      <c r="G24" s="7">
        <v>4</v>
      </c>
      <c r="H24" s="7">
        <v>35</v>
      </c>
      <c r="I24" s="21">
        <v>12</v>
      </c>
      <c r="J24" s="10">
        <v>-3</v>
      </c>
      <c r="K24" s="10">
        <v>-1.5</v>
      </c>
      <c r="L24" s="10" t="s">
        <v>183</v>
      </c>
      <c r="M24" s="10">
        <v>4</v>
      </c>
      <c r="N24" s="10" t="s">
        <v>184</v>
      </c>
      <c r="O24" s="49" t="s">
        <v>177</v>
      </c>
      <c r="P24" s="10" t="s">
        <v>178</v>
      </c>
      <c r="Q24" s="26">
        <v>5</v>
      </c>
    </row>
    <row r="25" spans="1:17" x14ac:dyDescent="0.25">
      <c r="A25" s="6">
        <v>24</v>
      </c>
      <c r="B25" s="9">
        <v>1141342937</v>
      </c>
      <c r="C25" s="9">
        <v>8</v>
      </c>
      <c r="D25" s="9" t="s">
        <v>50</v>
      </c>
      <c r="E25" s="7">
        <v>90</v>
      </c>
      <c r="F25" s="7">
        <v>88</v>
      </c>
      <c r="G25" s="7">
        <v>2</v>
      </c>
      <c r="H25" s="7">
        <v>41</v>
      </c>
      <c r="I25" s="21">
        <v>14</v>
      </c>
      <c r="J25" s="10">
        <v>-25</v>
      </c>
      <c r="K25" s="10">
        <v>-0.5</v>
      </c>
      <c r="L25" s="10" t="s">
        <v>143</v>
      </c>
      <c r="M25" s="10">
        <v>2</v>
      </c>
      <c r="N25" s="10" t="s">
        <v>166</v>
      </c>
      <c r="O25" s="49" t="s">
        <v>179</v>
      </c>
      <c r="P25" s="10" t="s">
        <v>180</v>
      </c>
      <c r="Q25" s="26">
        <v>2</v>
      </c>
    </row>
    <row r="26" spans="1:17" x14ac:dyDescent="0.25">
      <c r="A26" s="6">
        <v>25</v>
      </c>
      <c r="B26" s="9">
        <v>1030668204</v>
      </c>
      <c r="C26" s="9">
        <v>6</v>
      </c>
      <c r="D26" s="9" t="s">
        <v>50</v>
      </c>
      <c r="E26" s="7">
        <v>73</v>
      </c>
      <c r="F26" s="7">
        <v>76</v>
      </c>
      <c r="G26" s="7">
        <v>3</v>
      </c>
      <c r="H26" s="7">
        <v>49</v>
      </c>
      <c r="I26" s="21">
        <v>10</v>
      </c>
      <c r="J26" s="10">
        <v>7.5</v>
      </c>
      <c r="K26" s="10">
        <v>10</v>
      </c>
      <c r="L26" s="10" t="s">
        <v>143</v>
      </c>
      <c r="M26" s="10">
        <v>3</v>
      </c>
      <c r="N26" s="10" t="s">
        <v>144</v>
      </c>
      <c r="O26" s="49" t="s">
        <v>155</v>
      </c>
      <c r="P26" s="10" t="s">
        <v>156</v>
      </c>
      <c r="Q26" s="26">
        <v>2</v>
      </c>
    </row>
    <row r="27" spans="1:17" x14ac:dyDescent="0.25">
      <c r="A27" s="6">
        <v>26</v>
      </c>
      <c r="B27" s="9">
        <v>1021684117</v>
      </c>
      <c r="C27" s="9">
        <v>11</v>
      </c>
      <c r="D27" s="9" t="s">
        <v>11</v>
      </c>
      <c r="E27" s="8">
        <v>83</v>
      </c>
      <c r="F27" s="8">
        <v>78</v>
      </c>
      <c r="G27" s="8">
        <v>5</v>
      </c>
      <c r="H27" s="8">
        <v>36</v>
      </c>
      <c r="I27" s="22">
        <v>9</v>
      </c>
      <c r="J27" s="42">
        <v>0</v>
      </c>
      <c r="K27" s="42">
        <v>2</v>
      </c>
      <c r="L27" s="42" t="s">
        <v>139</v>
      </c>
      <c r="M27" s="42">
        <v>5</v>
      </c>
      <c r="N27" s="42" t="s">
        <v>181</v>
      </c>
      <c r="O27" s="49" t="s">
        <v>157</v>
      </c>
      <c r="P27" s="10" t="s">
        <v>158</v>
      </c>
      <c r="Q27" s="26">
        <v>3</v>
      </c>
    </row>
    <row r="28" spans="1:17" x14ac:dyDescent="0.25">
      <c r="A28" s="6">
        <v>27</v>
      </c>
      <c r="B28" s="9">
        <v>1092736045</v>
      </c>
      <c r="C28" s="9">
        <v>12</v>
      </c>
      <c r="D28" s="9" t="s">
        <v>11</v>
      </c>
      <c r="E28" s="8">
        <v>77</v>
      </c>
      <c r="F28" s="8">
        <v>79</v>
      </c>
      <c r="G28" s="8">
        <v>2</v>
      </c>
      <c r="H28" s="8">
        <v>43</v>
      </c>
      <c r="I28" s="22">
        <v>11</v>
      </c>
      <c r="J28" s="42">
        <v>-9</v>
      </c>
      <c r="K28" s="42">
        <v>3.5</v>
      </c>
      <c r="L28" s="42" t="s">
        <v>143</v>
      </c>
      <c r="M28" s="42">
        <v>2</v>
      </c>
      <c r="N28" s="42" t="s">
        <v>144</v>
      </c>
      <c r="O28" s="49" t="s">
        <v>155</v>
      </c>
      <c r="P28" s="10" t="s">
        <v>156</v>
      </c>
      <c r="Q28" s="26">
        <v>2</v>
      </c>
    </row>
    <row r="29" spans="1:17" x14ac:dyDescent="0.25">
      <c r="A29" s="6">
        <v>28</v>
      </c>
      <c r="B29" s="9">
        <v>1024540177</v>
      </c>
      <c r="C29" s="9">
        <v>11</v>
      </c>
      <c r="D29" s="9" t="s">
        <v>50</v>
      </c>
      <c r="E29" s="8">
        <v>85</v>
      </c>
      <c r="F29" s="8">
        <v>79</v>
      </c>
      <c r="G29" s="8">
        <v>6</v>
      </c>
      <c r="H29" s="8">
        <v>33</v>
      </c>
      <c r="I29" s="22">
        <v>7</v>
      </c>
      <c r="J29" s="42">
        <v>1</v>
      </c>
      <c r="K29" s="42">
        <v>2.5</v>
      </c>
      <c r="L29" s="42" t="s">
        <v>139</v>
      </c>
      <c r="M29" s="42">
        <v>6</v>
      </c>
      <c r="N29" s="42" t="s">
        <v>181</v>
      </c>
      <c r="O29" s="49" t="s">
        <v>157</v>
      </c>
      <c r="P29" s="10" t="s">
        <v>158</v>
      </c>
      <c r="Q29" s="26">
        <v>3</v>
      </c>
    </row>
    <row r="30" spans="1:17" x14ac:dyDescent="0.25">
      <c r="A30" s="6">
        <v>29</v>
      </c>
      <c r="B30" s="9">
        <v>1013655563</v>
      </c>
      <c r="C30" s="9">
        <v>10</v>
      </c>
      <c r="D30" s="9" t="s">
        <v>50</v>
      </c>
      <c r="E30" s="7">
        <v>81</v>
      </c>
      <c r="F30" s="7">
        <v>76</v>
      </c>
      <c r="G30" s="7">
        <v>5</v>
      </c>
      <c r="H30" s="7">
        <v>37</v>
      </c>
      <c r="I30" s="21">
        <v>6</v>
      </c>
      <c r="J30" s="10">
        <v>3</v>
      </c>
      <c r="K30" s="10">
        <v>5.5</v>
      </c>
      <c r="L30" s="10" t="s">
        <v>139</v>
      </c>
      <c r="M30" s="10">
        <v>5</v>
      </c>
      <c r="N30" s="10" t="s">
        <v>140</v>
      </c>
      <c r="O30" s="49" t="s">
        <v>141</v>
      </c>
      <c r="P30" s="10" t="s">
        <v>142</v>
      </c>
      <c r="Q30" s="26">
        <v>4</v>
      </c>
    </row>
    <row r="31" spans="1:17" x14ac:dyDescent="0.25">
      <c r="A31" s="6">
        <v>30</v>
      </c>
      <c r="B31" s="9">
        <v>1034297426</v>
      </c>
      <c r="C31" s="9">
        <v>13</v>
      </c>
      <c r="D31" s="9" t="s">
        <v>11</v>
      </c>
      <c r="E31" s="7">
        <v>89</v>
      </c>
      <c r="F31" s="7">
        <v>82</v>
      </c>
      <c r="G31" s="7">
        <v>7</v>
      </c>
      <c r="H31" s="7">
        <v>40</v>
      </c>
      <c r="I31" s="21">
        <v>5</v>
      </c>
      <c r="J31" s="10">
        <v>-12</v>
      </c>
      <c r="K31" s="10">
        <v>8</v>
      </c>
      <c r="L31" s="10" t="s">
        <v>143</v>
      </c>
      <c r="M31" s="10">
        <v>7</v>
      </c>
      <c r="N31" s="10" t="s">
        <v>166</v>
      </c>
      <c r="O31" s="49" t="s">
        <v>145</v>
      </c>
      <c r="P31" s="10" t="s">
        <v>146</v>
      </c>
      <c r="Q31" s="26">
        <v>1</v>
      </c>
    </row>
    <row r="32" spans="1:17" x14ac:dyDescent="0.25">
      <c r="A32" s="6">
        <v>31</v>
      </c>
      <c r="B32" s="9">
        <v>1034304138</v>
      </c>
      <c r="C32" s="9">
        <v>9</v>
      </c>
      <c r="D32" s="9" t="s">
        <v>50</v>
      </c>
      <c r="E32" s="7">
        <v>78</v>
      </c>
      <c r="F32" s="7">
        <v>75</v>
      </c>
      <c r="G32" s="7">
        <v>3</v>
      </c>
      <c r="H32" s="7">
        <v>33</v>
      </c>
      <c r="I32" s="21">
        <v>8</v>
      </c>
      <c r="J32" s="10">
        <v>9</v>
      </c>
      <c r="K32" s="10" t="s">
        <v>182</v>
      </c>
      <c r="L32" s="10" t="s">
        <v>139</v>
      </c>
      <c r="M32" s="10">
        <v>3</v>
      </c>
      <c r="N32" s="10" t="s">
        <v>181</v>
      </c>
      <c r="O32" s="49" t="s">
        <v>171</v>
      </c>
      <c r="P32" s="10" t="s">
        <v>172</v>
      </c>
      <c r="Q32" s="26">
        <v>5</v>
      </c>
    </row>
    <row r="33" spans="1:17" x14ac:dyDescent="0.25">
      <c r="A33" s="6">
        <v>32</v>
      </c>
      <c r="B33" s="9">
        <v>1033118854</v>
      </c>
      <c r="C33" s="9">
        <v>6</v>
      </c>
      <c r="D33" s="9" t="s">
        <v>50</v>
      </c>
      <c r="E33" s="7">
        <v>80</v>
      </c>
      <c r="F33" s="7">
        <v>75</v>
      </c>
      <c r="G33" s="7">
        <v>5</v>
      </c>
      <c r="H33" s="7">
        <v>30</v>
      </c>
      <c r="I33" s="21">
        <v>10</v>
      </c>
      <c r="J33" s="10">
        <v>12</v>
      </c>
      <c r="K33" s="10">
        <v>-2</v>
      </c>
      <c r="L33" s="10" t="s">
        <v>183</v>
      </c>
      <c r="M33" s="10">
        <v>5</v>
      </c>
      <c r="N33" s="10" t="s">
        <v>184</v>
      </c>
      <c r="O33" s="49" t="s">
        <v>177</v>
      </c>
      <c r="P33" s="10" t="s">
        <v>178</v>
      </c>
      <c r="Q33" s="26">
        <v>5</v>
      </c>
    </row>
    <row r="34" spans="1:17" x14ac:dyDescent="0.25">
      <c r="A34" s="6">
        <v>33</v>
      </c>
      <c r="B34" s="9">
        <v>1032680320</v>
      </c>
      <c r="C34" s="9">
        <v>14</v>
      </c>
      <c r="D34" s="9" t="s">
        <v>11</v>
      </c>
      <c r="E34" s="7">
        <v>84</v>
      </c>
      <c r="F34" s="7">
        <v>82</v>
      </c>
      <c r="G34" s="7">
        <v>2</v>
      </c>
      <c r="H34" s="7">
        <v>33</v>
      </c>
      <c r="I34" s="21">
        <v>9</v>
      </c>
      <c r="J34" s="10">
        <v>-5</v>
      </c>
      <c r="K34" s="10">
        <v>0.5</v>
      </c>
      <c r="L34" s="10" t="s">
        <v>143</v>
      </c>
      <c r="M34" s="10">
        <v>2</v>
      </c>
      <c r="N34" s="10" t="s">
        <v>161</v>
      </c>
      <c r="O34" s="49" t="s">
        <v>185</v>
      </c>
      <c r="P34" s="10" t="s">
        <v>186</v>
      </c>
      <c r="Q34" s="26">
        <v>2</v>
      </c>
    </row>
    <row r="35" spans="1:17" x14ac:dyDescent="0.25">
      <c r="A35" s="6">
        <v>34</v>
      </c>
      <c r="B35" s="9">
        <v>1028787375</v>
      </c>
      <c r="C35" s="9">
        <v>13</v>
      </c>
      <c r="D35" s="9" t="s">
        <v>11</v>
      </c>
      <c r="E35" s="7">
        <v>78</v>
      </c>
      <c r="F35" s="7">
        <v>72</v>
      </c>
      <c r="G35" s="7">
        <v>6</v>
      </c>
      <c r="H35" s="7">
        <v>37</v>
      </c>
      <c r="I35" s="21">
        <v>6</v>
      </c>
      <c r="J35" s="10">
        <v>11</v>
      </c>
      <c r="K35" s="10">
        <v>5.5</v>
      </c>
      <c r="L35" s="10" t="s">
        <v>183</v>
      </c>
      <c r="M35" s="10">
        <v>6</v>
      </c>
      <c r="N35" s="10" t="s">
        <v>187</v>
      </c>
      <c r="O35" s="49" t="s">
        <v>188</v>
      </c>
      <c r="P35" s="10" t="s">
        <v>189</v>
      </c>
      <c r="Q35" s="26">
        <v>1</v>
      </c>
    </row>
    <row r="36" spans="1:17" x14ac:dyDescent="0.25">
      <c r="A36" s="6">
        <v>35</v>
      </c>
      <c r="B36" s="9">
        <v>1030643798</v>
      </c>
      <c r="C36" s="9">
        <v>9</v>
      </c>
      <c r="D36" s="9" t="s">
        <v>11</v>
      </c>
      <c r="E36" s="7">
        <v>81</v>
      </c>
      <c r="F36" s="7">
        <v>76</v>
      </c>
      <c r="G36" s="7">
        <v>5</v>
      </c>
      <c r="H36" s="7">
        <v>33</v>
      </c>
      <c r="I36" s="21">
        <v>7</v>
      </c>
      <c r="J36" s="10">
        <v>7</v>
      </c>
      <c r="K36" s="10">
        <v>2.5</v>
      </c>
      <c r="L36" s="10" t="s">
        <v>183</v>
      </c>
      <c r="M36" s="10">
        <v>5</v>
      </c>
      <c r="N36" s="10" t="s">
        <v>190</v>
      </c>
      <c r="O36" s="49" t="s">
        <v>164</v>
      </c>
      <c r="P36" s="10" t="s">
        <v>165</v>
      </c>
      <c r="Q36" s="26">
        <v>5</v>
      </c>
    </row>
    <row r="37" spans="1:17" x14ac:dyDescent="0.25">
      <c r="A37" s="6">
        <v>36</v>
      </c>
      <c r="B37" s="9">
        <v>1016728400</v>
      </c>
      <c r="C37" s="9">
        <v>11</v>
      </c>
      <c r="D37" s="9" t="s">
        <v>50</v>
      </c>
      <c r="E37" s="8">
        <v>83</v>
      </c>
      <c r="F37" s="8">
        <v>79</v>
      </c>
      <c r="G37" s="8">
        <v>4</v>
      </c>
      <c r="H37" s="8">
        <v>36</v>
      </c>
      <c r="I37" s="22">
        <v>11</v>
      </c>
      <c r="J37" s="42">
        <v>-2</v>
      </c>
      <c r="K37" s="42">
        <v>0</v>
      </c>
      <c r="L37" s="42" t="s">
        <v>143</v>
      </c>
      <c r="M37" s="42">
        <v>4</v>
      </c>
      <c r="N37" s="42" t="s">
        <v>161</v>
      </c>
      <c r="O37" s="49" t="s">
        <v>162</v>
      </c>
      <c r="P37" s="10" t="s">
        <v>163</v>
      </c>
      <c r="Q37" s="26">
        <v>1</v>
      </c>
    </row>
    <row r="38" spans="1:17" x14ac:dyDescent="0.25">
      <c r="A38" s="6">
        <v>37</v>
      </c>
      <c r="B38" s="9">
        <v>1023899613</v>
      </c>
      <c r="C38" s="9">
        <v>14</v>
      </c>
      <c r="D38" s="9" t="s">
        <v>11</v>
      </c>
      <c r="E38" s="8">
        <v>87</v>
      </c>
      <c r="F38" s="8">
        <v>86</v>
      </c>
      <c r="G38" s="8">
        <v>1</v>
      </c>
      <c r="H38" s="8">
        <v>42</v>
      </c>
      <c r="I38" s="22">
        <v>6</v>
      </c>
      <c r="J38" s="42">
        <v>-22</v>
      </c>
      <c r="K38" s="42">
        <v>8</v>
      </c>
      <c r="L38" s="42" t="s">
        <v>143</v>
      </c>
      <c r="M38" s="42">
        <v>1</v>
      </c>
      <c r="N38" s="42" t="s">
        <v>144</v>
      </c>
      <c r="O38" s="49" t="s">
        <v>155</v>
      </c>
      <c r="P38" s="10" t="s">
        <v>156</v>
      </c>
      <c r="Q38" s="26">
        <v>2</v>
      </c>
    </row>
    <row r="39" spans="1:17" x14ac:dyDescent="0.25">
      <c r="A39" s="6">
        <v>38</v>
      </c>
      <c r="B39" s="9">
        <v>1033731933</v>
      </c>
      <c r="C39" s="9">
        <v>13</v>
      </c>
      <c r="D39" s="9" t="s">
        <v>11</v>
      </c>
      <c r="E39" s="8">
        <v>78</v>
      </c>
      <c r="F39" s="8">
        <v>74</v>
      </c>
      <c r="G39" s="8">
        <v>4</v>
      </c>
      <c r="H39" s="8">
        <v>46</v>
      </c>
      <c r="I39" s="22">
        <v>15</v>
      </c>
      <c r="J39" s="42">
        <v>-2</v>
      </c>
      <c r="K39" s="42">
        <v>1</v>
      </c>
      <c r="L39" s="42" t="s">
        <v>143</v>
      </c>
      <c r="M39" s="42">
        <v>4</v>
      </c>
      <c r="N39" s="42" t="s">
        <v>161</v>
      </c>
      <c r="O39" s="49" t="s">
        <v>162</v>
      </c>
      <c r="P39" s="10" t="s">
        <v>191</v>
      </c>
      <c r="Q39" s="26">
        <v>1</v>
      </c>
    </row>
    <row r="40" spans="1:17" x14ac:dyDescent="0.25">
      <c r="A40" s="6">
        <v>39</v>
      </c>
      <c r="B40" s="9">
        <v>1012921933</v>
      </c>
      <c r="C40" s="9">
        <v>10</v>
      </c>
      <c r="D40" s="9" t="s">
        <v>11</v>
      </c>
      <c r="E40" s="8">
        <v>83</v>
      </c>
      <c r="F40" s="8">
        <v>81</v>
      </c>
      <c r="G40" s="8">
        <v>2</v>
      </c>
      <c r="H40" s="8">
        <v>37</v>
      </c>
      <c r="I40" s="22">
        <v>7</v>
      </c>
      <c r="J40" s="42">
        <v>-7</v>
      </c>
      <c r="K40" s="42">
        <v>4.5</v>
      </c>
      <c r="L40" s="42" t="s">
        <v>143</v>
      </c>
      <c r="M40" s="42">
        <v>2</v>
      </c>
      <c r="N40" s="42" t="s">
        <v>144</v>
      </c>
      <c r="O40" s="49" t="s">
        <v>155</v>
      </c>
      <c r="P40" s="10" t="s">
        <v>156</v>
      </c>
      <c r="Q40" s="26">
        <v>2</v>
      </c>
    </row>
    <row r="41" spans="1:17" x14ac:dyDescent="0.25">
      <c r="A41" s="6">
        <v>40</v>
      </c>
      <c r="B41" s="9">
        <v>1013127220</v>
      </c>
      <c r="C41" s="9">
        <v>12</v>
      </c>
      <c r="D41" s="9" t="s">
        <v>11</v>
      </c>
      <c r="E41" s="8">
        <v>88</v>
      </c>
      <c r="F41" s="8">
        <v>86</v>
      </c>
      <c r="G41" s="8">
        <v>2</v>
      </c>
      <c r="H41" s="8">
        <v>36</v>
      </c>
      <c r="I41" s="22">
        <v>6</v>
      </c>
      <c r="J41" s="42">
        <v>-16</v>
      </c>
      <c r="K41" s="42">
        <v>5</v>
      </c>
      <c r="L41" s="42" t="s">
        <v>143</v>
      </c>
      <c r="M41" s="42">
        <v>2</v>
      </c>
      <c r="N41" s="42" t="s">
        <v>144</v>
      </c>
      <c r="O41" s="49" t="s">
        <v>155</v>
      </c>
      <c r="P41" s="10" t="s">
        <v>156</v>
      </c>
      <c r="Q41" s="26">
        <v>2</v>
      </c>
    </row>
    <row r="42" spans="1:17" x14ac:dyDescent="0.25">
      <c r="A42" s="6">
        <v>41</v>
      </c>
      <c r="B42" s="9">
        <v>1028789428</v>
      </c>
      <c r="C42" s="9">
        <v>9</v>
      </c>
      <c r="D42" s="9" t="s">
        <v>11</v>
      </c>
      <c r="E42" s="8">
        <v>84</v>
      </c>
      <c r="F42" s="8">
        <v>80</v>
      </c>
      <c r="G42" s="8">
        <v>4</v>
      </c>
      <c r="H42" s="8">
        <v>38</v>
      </c>
      <c r="I42" s="22">
        <v>14</v>
      </c>
      <c r="J42" s="42">
        <v>-6</v>
      </c>
      <c r="K42" s="42">
        <v>-2</v>
      </c>
      <c r="L42" s="42" t="s">
        <v>143</v>
      </c>
      <c r="M42" s="42">
        <v>4</v>
      </c>
      <c r="N42" s="42" t="s">
        <v>166</v>
      </c>
      <c r="O42" s="49" t="s">
        <v>167</v>
      </c>
      <c r="P42" s="10" t="s">
        <v>192</v>
      </c>
      <c r="Q42" s="26">
        <v>1</v>
      </c>
    </row>
    <row r="43" spans="1:17" x14ac:dyDescent="0.25">
      <c r="A43" s="6">
        <v>42</v>
      </c>
      <c r="B43" s="9">
        <v>1140922601</v>
      </c>
      <c r="C43" s="9">
        <v>13</v>
      </c>
      <c r="D43" s="9" t="s">
        <v>69</v>
      </c>
      <c r="E43" s="8">
        <v>76</v>
      </c>
      <c r="F43" s="8">
        <v>75</v>
      </c>
      <c r="G43" s="8">
        <v>1</v>
      </c>
      <c r="H43" s="8">
        <v>43</v>
      </c>
      <c r="I43" s="22">
        <v>7</v>
      </c>
      <c r="J43" s="42">
        <v>-1</v>
      </c>
      <c r="K43" s="42">
        <v>7.5</v>
      </c>
      <c r="L43" s="42" t="s">
        <v>143</v>
      </c>
      <c r="M43" s="42">
        <v>1</v>
      </c>
      <c r="N43" s="42" t="s">
        <v>144</v>
      </c>
      <c r="O43" s="49" t="s">
        <v>155</v>
      </c>
      <c r="P43" s="10" t="s">
        <v>156</v>
      </c>
      <c r="Q43" s="26">
        <v>2</v>
      </c>
    </row>
    <row r="44" spans="1:17" x14ac:dyDescent="0.25">
      <c r="A44" s="6">
        <v>43</v>
      </c>
      <c r="B44" s="9">
        <v>1023951613</v>
      </c>
      <c r="C44" s="9">
        <v>9</v>
      </c>
      <c r="D44" s="9" t="s">
        <v>50</v>
      </c>
      <c r="E44" s="8">
        <v>80</v>
      </c>
      <c r="F44" s="8">
        <v>76</v>
      </c>
      <c r="G44" s="8">
        <v>4</v>
      </c>
      <c r="H44" s="8">
        <v>42</v>
      </c>
      <c r="I44" s="22">
        <v>9</v>
      </c>
      <c r="J44" s="42">
        <v>-2</v>
      </c>
      <c r="K44" s="42">
        <v>5</v>
      </c>
      <c r="L44" s="42" t="s">
        <v>143</v>
      </c>
      <c r="M44" s="42">
        <v>4</v>
      </c>
      <c r="N44" s="42" t="s">
        <v>144</v>
      </c>
      <c r="O44" s="49" t="s">
        <v>155</v>
      </c>
      <c r="P44" s="10" t="s">
        <v>156</v>
      </c>
      <c r="Q44" s="26">
        <v>2</v>
      </c>
    </row>
    <row r="45" spans="1:17" x14ac:dyDescent="0.25">
      <c r="A45" s="6">
        <v>44</v>
      </c>
      <c r="B45" s="9">
        <v>1025546266</v>
      </c>
      <c r="C45" s="9">
        <v>12</v>
      </c>
      <c r="D45" s="9" t="s">
        <v>69</v>
      </c>
      <c r="E45" s="8">
        <v>83</v>
      </c>
      <c r="F45" s="8">
        <v>78</v>
      </c>
      <c r="G45" s="8">
        <v>5</v>
      </c>
      <c r="H45" s="8">
        <v>43</v>
      </c>
      <c r="I45" s="22">
        <v>14</v>
      </c>
      <c r="J45" s="42">
        <v>-7</v>
      </c>
      <c r="K45" s="42">
        <v>0.5</v>
      </c>
      <c r="L45" s="42" t="s">
        <v>143</v>
      </c>
      <c r="M45" s="42">
        <v>5</v>
      </c>
      <c r="N45" s="42" t="s">
        <v>161</v>
      </c>
      <c r="O45" s="49" t="s">
        <v>162</v>
      </c>
      <c r="P45" s="10" t="s">
        <v>191</v>
      </c>
      <c r="Q45" s="26">
        <v>1</v>
      </c>
    </row>
    <row r="46" spans="1:17" x14ac:dyDescent="0.25">
      <c r="A46" s="6">
        <v>45</v>
      </c>
      <c r="B46" s="9">
        <v>1028498679</v>
      </c>
      <c r="C46" s="9">
        <v>9</v>
      </c>
      <c r="D46" s="9" t="s">
        <v>69</v>
      </c>
      <c r="E46" s="8">
        <v>67</v>
      </c>
      <c r="F46" s="8">
        <v>64</v>
      </c>
      <c r="G46" s="8">
        <v>3</v>
      </c>
      <c r="H46" s="8">
        <v>51</v>
      </c>
      <c r="I46" s="22">
        <v>11</v>
      </c>
      <c r="J46" s="42">
        <v>13</v>
      </c>
      <c r="K46" s="42">
        <v>7.5</v>
      </c>
      <c r="L46" s="42" t="s">
        <v>183</v>
      </c>
      <c r="M46" s="42">
        <v>3</v>
      </c>
      <c r="N46" s="42" t="s">
        <v>187</v>
      </c>
      <c r="O46" s="49" t="s">
        <v>169</v>
      </c>
      <c r="P46" s="10" t="s">
        <v>170</v>
      </c>
      <c r="Q46" s="26">
        <v>5</v>
      </c>
    </row>
    <row r="47" spans="1:17" x14ac:dyDescent="0.25">
      <c r="A47" s="6">
        <v>46</v>
      </c>
      <c r="B47" s="9">
        <v>1032799712</v>
      </c>
      <c r="C47" s="9">
        <v>13</v>
      </c>
      <c r="D47" s="9" t="s">
        <v>69</v>
      </c>
      <c r="E47" s="8">
        <v>85</v>
      </c>
      <c r="F47" s="8">
        <v>81</v>
      </c>
      <c r="G47" s="8">
        <v>4</v>
      </c>
      <c r="H47" s="8">
        <v>44</v>
      </c>
      <c r="I47" s="22">
        <v>12</v>
      </c>
      <c r="J47" s="42">
        <v>-14</v>
      </c>
      <c r="K47" s="42">
        <v>3</v>
      </c>
      <c r="L47" s="42" t="s">
        <v>143</v>
      </c>
      <c r="M47" s="42">
        <v>4</v>
      </c>
      <c r="N47" s="42" t="s">
        <v>161</v>
      </c>
      <c r="O47" s="49" t="s">
        <v>162</v>
      </c>
      <c r="P47" s="10" t="s">
        <v>191</v>
      </c>
      <c r="Q47" s="26">
        <v>1</v>
      </c>
    </row>
    <row r="48" spans="1:17" x14ac:dyDescent="0.25">
      <c r="A48" s="6">
        <v>47</v>
      </c>
      <c r="B48" s="9">
        <v>1019766976</v>
      </c>
      <c r="C48" s="9">
        <v>9</v>
      </c>
      <c r="D48" s="9" t="s">
        <v>50</v>
      </c>
      <c r="E48" s="8">
        <v>75</v>
      </c>
      <c r="F48" s="8">
        <v>73</v>
      </c>
      <c r="G48" s="8">
        <v>2</v>
      </c>
      <c r="H48" s="8">
        <v>41</v>
      </c>
      <c r="I48" s="22">
        <v>12</v>
      </c>
      <c r="J48" s="42">
        <v>5</v>
      </c>
      <c r="K48" s="42">
        <v>1.5</v>
      </c>
      <c r="L48" s="42" t="s">
        <v>139</v>
      </c>
      <c r="M48" s="42">
        <v>2</v>
      </c>
      <c r="N48" s="42" t="s">
        <v>181</v>
      </c>
      <c r="O48" s="49" t="s">
        <v>193</v>
      </c>
      <c r="P48" s="10" t="s">
        <v>194</v>
      </c>
      <c r="Q48" s="26">
        <v>4</v>
      </c>
    </row>
    <row r="49" spans="1:18" x14ac:dyDescent="0.25">
      <c r="A49" s="6">
        <v>48</v>
      </c>
      <c r="B49" s="9">
        <v>1027402287</v>
      </c>
      <c r="C49" s="9">
        <v>14</v>
      </c>
      <c r="D49" s="9" t="s">
        <v>50</v>
      </c>
      <c r="E49" s="8">
        <v>79</v>
      </c>
      <c r="F49" s="8">
        <v>76</v>
      </c>
      <c r="G49" s="8">
        <v>3</v>
      </c>
      <c r="H49" s="8">
        <v>34</v>
      </c>
      <c r="I49" s="22">
        <v>11</v>
      </c>
      <c r="J49" s="42">
        <v>6</v>
      </c>
      <c r="K49" s="42">
        <v>-1</v>
      </c>
      <c r="L49" s="42" t="s">
        <v>139</v>
      </c>
      <c r="M49" s="42">
        <v>3</v>
      </c>
      <c r="N49" s="42" t="s">
        <v>152</v>
      </c>
      <c r="O49" s="49" t="s">
        <v>195</v>
      </c>
      <c r="P49" s="10" t="s">
        <v>196</v>
      </c>
      <c r="Q49" s="26">
        <v>4</v>
      </c>
    </row>
    <row r="50" spans="1:18" x14ac:dyDescent="0.25">
      <c r="A50" s="6">
        <v>49</v>
      </c>
      <c r="B50" s="9">
        <v>1028786179</v>
      </c>
      <c r="C50" s="9">
        <v>14</v>
      </c>
      <c r="D50" s="9" t="s">
        <v>11</v>
      </c>
      <c r="E50" s="8">
        <v>78</v>
      </c>
      <c r="F50" s="8">
        <v>82</v>
      </c>
      <c r="G50" s="8" t="s">
        <v>54</v>
      </c>
      <c r="H50" s="8">
        <v>34</v>
      </c>
      <c r="I50" s="22">
        <v>14</v>
      </c>
      <c r="J50" s="42">
        <v>-6</v>
      </c>
      <c r="K50" s="42">
        <v>-4</v>
      </c>
      <c r="L50" s="42" t="s">
        <v>143</v>
      </c>
      <c r="M50" s="42">
        <v>-4</v>
      </c>
      <c r="N50" s="42" t="s">
        <v>166</v>
      </c>
      <c r="O50" s="49" t="s">
        <v>197</v>
      </c>
      <c r="P50" s="10" t="s">
        <v>198</v>
      </c>
      <c r="Q50" s="26">
        <v>5</v>
      </c>
    </row>
    <row r="51" spans="1:18" x14ac:dyDescent="0.25">
      <c r="A51" s="11">
        <v>50</v>
      </c>
      <c r="B51" s="12">
        <v>1028683894</v>
      </c>
      <c r="C51" s="12">
        <v>7</v>
      </c>
      <c r="D51" s="12" t="s">
        <v>11</v>
      </c>
      <c r="E51" s="41">
        <v>80</v>
      </c>
      <c r="F51" s="41">
        <v>76</v>
      </c>
      <c r="G51" s="41">
        <v>4</v>
      </c>
      <c r="H51" s="41">
        <v>44</v>
      </c>
      <c r="I51" s="51">
        <v>10</v>
      </c>
      <c r="J51" s="42">
        <v>-4</v>
      </c>
      <c r="K51" s="42">
        <v>5</v>
      </c>
      <c r="L51" s="42" t="s">
        <v>143</v>
      </c>
      <c r="M51" s="42">
        <v>4</v>
      </c>
      <c r="N51" s="42" t="s">
        <v>144</v>
      </c>
      <c r="O51" s="49" t="s">
        <v>155</v>
      </c>
      <c r="P51" s="10" t="s">
        <v>156</v>
      </c>
      <c r="Q51" s="26">
        <v>2</v>
      </c>
    </row>
    <row r="52" spans="1:18" x14ac:dyDescent="0.25">
      <c r="A52" s="14">
        <v>51</v>
      </c>
      <c r="B52" s="15">
        <v>1014740128</v>
      </c>
      <c r="C52" s="15">
        <v>12</v>
      </c>
      <c r="D52" s="15" t="s">
        <v>11</v>
      </c>
      <c r="E52" s="10">
        <v>82</v>
      </c>
      <c r="F52" s="10">
        <v>80</v>
      </c>
      <c r="G52" s="10">
        <v>2</v>
      </c>
      <c r="H52" s="10">
        <v>46</v>
      </c>
      <c r="I52" s="23">
        <v>16</v>
      </c>
      <c r="J52" s="10">
        <v>-14</v>
      </c>
      <c r="K52" s="10">
        <v>0</v>
      </c>
      <c r="L52" s="10" t="s">
        <v>143</v>
      </c>
      <c r="M52" s="10">
        <v>2</v>
      </c>
      <c r="N52" s="10" t="s">
        <v>161</v>
      </c>
      <c r="O52" s="49" t="s">
        <v>185</v>
      </c>
      <c r="P52" s="10" t="s">
        <v>186</v>
      </c>
      <c r="Q52" s="26">
        <v>2</v>
      </c>
    </row>
    <row r="53" spans="1:18" x14ac:dyDescent="0.25">
      <c r="A53" s="14">
        <v>52</v>
      </c>
      <c r="B53" s="15">
        <v>1014596769</v>
      </c>
      <c r="C53" s="15">
        <v>14</v>
      </c>
      <c r="D53" s="15" t="s">
        <v>69</v>
      </c>
      <c r="E53" s="10">
        <v>82</v>
      </c>
      <c r="F53" s="10">
        <v>87</v>
      </c>
      <c r="G53" s="32">
        <v>5</v>
      </c>
      <c r="H53" s="10">
        <v>34</v>
      </c>
      <c r="I53" s="46">
        <v>7</v>
      </c>
      <c r="J53" s="10">
        <v>-16</v>
      </c>
      <c r="K53" s="10">
        <v>3</v>
      </c>
      <c r="L53" s="10" t="s">
        <v>143</v>
      </c>
      <c r="M53" s="10">
        <v>5</v>
      </c>
      <c r="N53" s="10" t="s">
        <v>144</v>
      </c>
      <c r="O53" s="49" t="s">
        <v>164</v>
      </c>
      <c r="P53" s="10" t="s">
        <v>165</v>
      </c>
      <c r="Q53" s="26">
        <v>2</v>
      </c>
    </row>
    <row r="54" spans="1:18" x14ac:dyDescent="0.25">
      <c r="A54" s="14">
        <v>53</v>
      </c>
      <c r="B54" s="15">
        <v>1029290305</v>
      </c>
      <c r="C54" s="15">
        <v>9</v>
      </c>
      <c r="D54" s="15" t="s">
        <v>69</v>
      </c>
      <c r="E54" s="10">
        <v>85</v>
      </c>
      <c r="F54" s="10">
        <v>78</v>
      </c>
      <c r="G54" s="10">
        <v>7</v>
      </c>
      <c r="H54" s="10">
        <v>34</v>
      </c>
      <c r="I54" s="23">
        <v>6</v>
      </c>
      <c r="J54" s="10">
        <v>2</v>
      </c>
      <c r="K54" s="10">
        <v>1</v>
      </c>
      <c r="L54" s="10" t="s">
        <v>139</v>
      </c>
      <c r="M54" s="10">
        <v>7</v>
      </c>
      <c r="N54" s="10" t="s">
        <v>140</v>
      </c>
      <c r="O54" s="49" t="s">
        <v>157</v>
      </c>
      <c r="P54" s="10" t="s">
        <v>158</v>
      </c>
      <c r="Q54" s="26">
        <v>2</v>
      </c>
    </row>
    <row r="55" spans="1:18" x14ac:dyDescent="0.25">
      <c r="A55" s="16">
        <v>54</v>
      </c>
      <c r="B55" s="17">
        <v>1027528232</v>
      </c>
      <c r="C55" s="17">
        <v>13</v>
      </c>
      <c r="D55" s="17" t="s">
        <v>50</v>
      </c>
      <c r="E55" s="18">
        <v>84</v>
      </c>
      <c r="F55" s="18">
        <v>80</v>
      </c>
      <c r="G55" s="18">
        <v>4</v>
      </c>
      <c r="H55" s="18">
        <v>35</v>
      </c>
      <c r="I55" s="47">
        <v>8</v>
      </c>
      <c r="J55" s="10">
        <v>3</v>
      </c>
      <c r="K55" s="10">
        <v>5</v>
      </c>
      <c r="L55" s="10" t="s">
        <v>139</v>
      </c>
      <c r="M55" s="10">
        <v>4</v>
      </c>
      <c r="N55" s="10" t="s">
        <v>140</v>
      </c>
      <c r="O55" s="50" t="s">
        <v>141</v>
      </c>
      <c r="P55" s="10" t="s">
        <v>142</v>
      </c>
      <c r="Q55" s="30">
        <v>2</v>
      </c>
      <c r="R55" s="28"/>
    </row>
    <row r="56" spans="1:18" x14ac:dyDescent="0.25">
      <c r="A56" s="6">
        <v>55</v>
      </c>
      <c r="B56" s="9">
        <v>1034782323</v>
      </c>
      <c r="C56" s="9">
        <v>9</v>
      </c>
      <c r="D56" s="9" t="s">
        <v>69</v>
      </c>
      <c r="E56" s="7">
        <v>79</v>
      </c>
      <c r="F56" s="7">
        <v>75</v>
      </c>
      <c r="G56" s="7">
        <v>4</v>
      </c>
      <c r="H56" s="7">
        <v>31</v>
      </c>
      <c r="I56" s="21">
        <v>7</v>
      </c>
      <c r="J56" s="10">
        <v>11</v>
      </c>
      <c r="K56" s="10">
        <v>7.5</v>
      </c>
      <c r="L56" s="10" t="s">
        <v>183</v>
      </c>
      <c r="M56" s="10">
        <v>7</v>
      </c>
      <c r="N56" s="10" t="s">
        <v>187</v>
      </c>
      <c r="O56" s="49" t="s">
        <v>188</v>
      </c>
      <c r="P56" s="10" t="s">
        <v>170</v>
      </c>
      <c r="Q56" s="26">
        <v>4</v>
      </c>
    </row>
    <row r="57" spans="1:18" x14ac:dyDescent="0.25">
      <c r="O57" s="1"/>
      <c r="P57" s="1"/>
      <c r="Q57"/>
      <c r="R57"/>
    </row>
    <row r="58" spans="1:18" x14ac:dyDescent="0.25">
      <c r="O58" s="1"/>
      <c r="P58" s="1"/>
      <c r="Q58"/>
      <c r="R58"/>
    </row>
    <row r="59" spans="1:18" x14ac:dyDescent="0.25">
      <c r="O59" s="1"/>
      <c r="P59" s="1"/>
      <c r="Q59"/>
      <c r="R59"/>
    </row>
    <row r="60" spans="1:18" x14ac:dyDescent="0.25">
      <c r="O60" s="1"/>
      <c r="P60" s="1"/>
      <c r="Q60"/>
      <c r="R60"/>
    </row>
    <row r="61" spans="1:18" x14ac:dyDescent="0.25">
      <c r="O61" s="1"/>
      <c r="P61" s="1"/>
      <c r="Q61"/>
      <c r="R61"/>
    </row>
    <row r="62" spans="1:18" x14ac:dyDescent="0.25">
      <c r="O62" s="1"/>
      <c r="P62" s="1"/>
      <c r="Q62"/>
      <c r="R62"/>
    </row>
    <row r="63" spans="1:18" x14ac:dyDescent="0.25">
      <c r="O63" s="1"/>
      <c r="P63" s="1"/>
      <c r="Q63"/>
      <c r="R63"/>
    </row>
    <row r="64" spans="1:18" x14ac:dyDescent="0.25">
      <c r="O64" s="1"/>
      <c r="P64" s="1"/>
      <c r="Q64"/>
      <c r="R64"/>
    </row>
    <row r="65" spans="15:18" x14ac:dyDescent="0.25">
      <c r="O65" s="1"/>
      <c r="P65" s="1"/>
      <c r="Q65"/>
      <c r="R65"/>
    </row>
    <row r="66" spans="15:18" x14ac:dyDescent="0.25">
      <c r="O66" s="1"/>
      <c r="P66" s="1"/>
      <c r="Q66"/>
      <c r="R66"/>
    </row>
    <row r="67" spans="15:18" x14ac:dyDescent="0.25">
      <c r="O67" s="1"/>
      <c r="P67" s="1"/>
      <c r="Q67"/>
      <c r="R67"/>
    </row>
    <row r="68" spans="15:18" x14ac:dyDescent="0.25">
      <c r="O68" s="1"/>
      <c r="P68" s="1"/>
      <c r="Q68"/>
      <c r="R68"/>
    </row>
    <row r="69" spans="15:18" x14ac:dyDescent="0.25">
      <c r="O69" s="1"/>
      <c r="P69" s="1"/>
      <c r="Q69"/>
      <c r="R69"/>
    </row>
    <row r="70" spans="15:18" x14ac:dyDescent="0.25">
      <c r="O70" s="1"/>
      <c r="P70" s="1"/>
      <c r="Q70"/>
      <c r="R70"/>
    </row>
    <row r="71" spans="15:18" x14ac:dyDescent="0.25">
      <c r="O71" s="1"/>
      <c r="P71" s="1"/>
      <c r="Q71"/>
      <c r="R71"/>
    </row>
    <row r="72" spans="15:18" x14ac:dyDescent="0.25">
      <c r="O72" s="1"/>
      <c r="P72" s="1"/>
      <c r="Q72"/>
      <c r="R72"/>
    </row>
    <row r="73" spans="15:18" x14ac:dyDescent="0.25">
      <c r="O73" s="1"/>
      <c r="P73" s="1"/>
      <c r="Q73"/>
      <c r="R73"/>
    </row>
    <row r="74" spans="15:18" x14ac:dyDescent="0.25">
      <c r="O74" s="1"/>
      <c r="P74" s="1"/>
      <c r="Q74"/>
      <c r="R74"/>
    </row>
    <row r="75" spans="15:18" x14ac:dyDescent="0.25">
      <c r="O75" s="1"/>
      <c r="P75" s="1"/>
      <c r="Q75"/>
      <c r="R75"/>
    </row>
    <row r="76" spans="15:18" x14ac:dyDescent="0.25">
      <c r="O76" s="1"/>
      <c r="P76" s="1"/>
      <c r="Q76"/>
      <c r="R76"/>
    </row>
    <row r="77" spans="15:18" x14ac:dyDescent="0.25">
      <c r="O77" s="1"/>
      <c r="P77" s="1"/>
      <c r="Q77"/>
      <c r="R77"/>
    </row>
    <row r="78" spans="15:18" x14ac:dyDescent="0.25">
      <c r="O78" s="1"/>
      <c r="P78" s="1"/>
      <c r="Q78"/>
      <c r="R78"/>
    </row>
    <row r="79" spans="15:18" x14ac:dyDescent="0.25">
      <c r="O79" s="1"/>
      <c r="P79" s="1"/>
      <c r="Q79"/>
      <c r="R79"/>
    </row>
    <row r="80" spans="15:18" x14ac:dyDescent="0.25">
      <c r="O80" s="1"/>
      <c r="P80" s="1"/>
      <c r="Q80"/>
      <c r="R80"/>
    </row>
    <row r="81" spans="15:18" x14ac:dyDescent="0.25">
      <c r="O81" s="1"/>
      <c r="P81" s="1"/>
      <c r="Q81"/>
      <c r="R81"/>
    </row>
    <row r="82" spans="15:18" x14ac:dyDescent="0.25">
      <c r="O82" s="1"/>
      <c r="P82" s="1"/>
      <c r="Q82"/>
      <c r="R82"/>
    </row>
    <row r="83" spans="15:18" x14ac:dyDescent="0.25">
      <c r="O83" s="1"/>
      <c r="P83" s="1"/>
      <c r="Q83"/>
      <c r="R83"/>
    </row>
    <row r="84" spans="15:18" x14ac:dyDescent="0.25">
      <c r="O84" s="1"/>
      <c r="P84" s="1"/>
      <c r="Q84"/>
      <c r="R84"/>
    </row>
    <row r="85" spans="15:18" x14ac:dyDescent="0.25">
      <c r="O85" s="1"/>
      <c r="P85" s="1"/>
      <c r="Q85"/>
      <c r="R85"/>
    </row>
    <row r="86" spans="15:18" x14ac:dyDescent="0.25">
      <c r="O86" s="1"/>
      <c r="P86" s="1"/>
      <c r="Q86"/>
      <c r="R86"/>
    </row>
    <row r="87" spans="15:18" x14ac:dyDescent="0.25">
      <c r="O87" s="1"/>
      <c r="P87" s="1"/>
      <c r="Q87"/>
      <c r="R87"/>
    </row>
    <row r="88" spans="15:18" x14ac:dyDescent="0.25">
      <c r="O88" s="1"/>
      <c r="P88" s="1"/>
      <c r="Q88"/>
      <c r="R88"/>
    </row>
    <row r="89" spans="15:18" x14ac:dyDescent="0.25">
      <c r="O89" s="1"/>
      <c r="P89" s="1"/>
      <c r="Q89"/>
      <c r="R89"/>
    </row>
    <row r="90" spans="15:18" x14ac:dyDescent="0.25">
      <c r="O90" s="1"/>
      <c r="P90" s="1"/>
      <c r="Q90"/>
      <c r="R90"/>
    </row>
    <row r="91" spans="15:18" x14ac:dyDescent="0.25">
      <c r="O91" s="1"/>
      <c r="P91" s="1"/>
      <c r="Q91"/>
      <c r="R91"/>
    </row>
    <row r="92" spans="15:18" x14ac:dyDescent="0.25">
      <c r="O92" s="1"/>
      <c r="P92" s="1"/>
      <c r="Q92"/>
      <c r="R92"/>
    </row>
    <row r="93" spans="15:18" x14ac:dyDescent="0.25">
      <c r="O93" s="1"/>
      <c r="P93" s="1"/>
      <c r="Q93"/>
      <c r="R93"/>
    </row>
    <row r="94" spans="15:18" x14ac:dyDescent="0.25">
      <c r="O94" s="1"/>
      <c r="P94" s="1"/>
      <c r="Q94"/>
      <c r="R94"/>
    </row>
    <row r="95" spans="15:18" x14ac:dyDescent="0.25">
      <c r="O95" s="1"/>
      <c r="P95" s="1"/>
      <c r="Q95"/>
      <c r="R95"/>
    </row>
    <row r="96" spans="15:18" x14ac:dyDescent="0.25">
      <c r="O96" s="1"/>
      <c r="P96" s="1"/>
      <c r="Q96"/>
      <c r="R96"/>
    </row>
    <row r="97" spans="15:18" x14ac:dyDescent="0.25">
      <c r="O97" s="1"/>
      <c r="P97" s="1"/>
      <c r="Q97"/>
      <c r="R97"/>
    </row>
    <row r="98" spans="15:18" x14ac:dyDescent="0.25">
      <c r="O98" s="1"/>
      <c r="P98" s="1"/>
      <c r="Q98"/>
      <c r="R98"/>
    </row>
    <row r="99" spans="15:18" x14ac:dyDescent="0.25">
      <c r="O99" s="1"/>
      <c r="P99" s="1"/>
      <c r="Q99"/>
      <c r="R99"/>
    </row>
    <row r="100" spans="15:18" x14ac:dyDescent="0.25">
      <c r="O100" s="1"/>
      <c r="P100" s="1"/>
      <c r="Q100"/>
      <c r="R100"/>
    </row>
    <row r="101" spans="15:18" x14ac:dyDescent="0.25">
      <c r="O101" s="1"/>
      <c r="P101" s="1"/>
      <c r="Q101"/>
      <c r="R101"/>
    </row>
    <row r="102" spans="15:18" x14ac:dyDescent="0.25">
      <c r="O102" s="1"/>
      <c r="P102" s="1"/>
      <c r="Q102"/>
      <c r="R102"/>
    </row>
    <row r="103" spans="15:18" x14ac:dyDescent="0.25">
      <c r="O103" s="1"/>
      <c r="P103" s="1"/>
      <c r="Q103"/>
      <c r="R103"/>
    </row>
    <row r="104" spans="15:18" x14ac:dyDescent="0.25">
      <c r="O104" s="1"/>
      <c r="P104" s="1"/>
      <c r="Q104"/>
      <c r="R104"/>
    </row>
    <row r="105" spans="15:18" x14ac:dyDescent="0.25">
      <c r="O105" s="1"/>
      <c r="P105" s="1"/>
      <c r="Q105"/>
      <c r="R105"/>
    </row>
    <row r="106" spans="15:18" x14ac:dyDescent="0.25">
      <c r="O106" s="1"/>
      <c r="P106" s="1"/>
      <c r="Q106"/>
      <c r="R106"/>
    </row>
    <row r="107" spans="15:18" x14ac:dyDescent="0.25">
      <c r="O107" s="1"/>
      <c r="P107" s="1"/>
      <c r="Q107"/>
      <c r="R107"/>
    </row>
    <row r="108" spans="15:18" x14ac:dyDescent="0.25">
      <c r="O108" s="1"/>
      <c r="P108" s="1"/>
      <c r="Q108"/>
      <c r="R108"/>
    </row>
    <row r="109" spans="15:18" x14ac:dyDescent="0.25">
      <c r="O109" s="1"/>
      <c r="P109" s="1"/>
      <c r="Q109"/>
      <c r="R109"/>
    </row>
    <row r="110" spans="15:18" x14ac:dyDescent="0.25">
      <c r="O110" s="1"/>
      <c r="P110" s="1"/>
      <c r="Q110"/>
      <c r="R110"/>
    </row>
    <row r="111" spans="15:18" x14ac:dyDescent="0.25">
      <c r="O111" s="1"/>
      <c r="P111" s="1"/>
      <c r="Q111"/>
      <c r="R111"/>
    </row>
    <row r="112" spans="15:18" x14ac:dyDescent="0.25">
      <c r="O112" s="1"/>
      <c r="P112" s="1"/>
      <c r="Q112"/>
      <c r="R112"/>
    </row>
    <row r="113" spans="15:18" x14ac:dyDescent="0.25">
      <c r="O113" s="1"/>
      <c r="P113" s="1"/>
      <c r="Q113"/>
      <c r="R113"/>
    </row>
    <row r="114" spans="15:18" x14ac:dyDescent="0.25">
      <c r="O114" s="1"/>
      <c r="P114" s="1"/>
      <c r="Q114"/>
      <c r="R114"/>
    </row>
    <row r="115" spans="15:18" x14ac:dyDescent="0.25">
      <c r="O115" s="1"/>
      <c r="P115" s="1"/>
      <c r="Q115"/>
      <c r="R115"/>
    </row>
    <row r="116" spans="15:18" x14ac:dyDescent="0.25">
      <c r="O116" s="1"/>
      <c r="P116" s="1"/>
      <c r="Q116"/>
      <c r="R116"/>
    </row>
    <row r="117" spans="15:18" x14ac:dyDescent="0.25">
      <c r="O117" s="1"/>
      <c r="P117" s="1"/>
      <c r="Q117"/>
      <c r="R117"/>
    </row>
    <row r="118" spans="15:18" x14ac:dyDescent="0.25">
      <c r="O118" s="1"/>
      <c r="P118" s="1"/>
      <c r="Q118"/>
      <c r="R118"/>
    </row>
    <row r="119" spans="15:18" x14ac:dyDescent="0.25">
      <c r="O119" s="1"/>
      <c r="P119" s="1"/>
      <c r="Q119"/>
      <c r="R119"/>
    </row>
    <row r="120" spans="15:18" x14ac:dyDescent="0.25">
      <c r="O120" s="1"/>
      <c r="P120" s="1"/>
      <c r="Q120"/>
      <c r="R120"/>
    </row>
    <row r="121" spans="15:18" x14ac:dyDescent="0.25">
      <c r="O121" s="1"/>
      <c r="P121" s="1"/>
      <c r="Q121"/>
      <c r="R121"/>
    </row>
    <row r="122" spans="15:18" x14ac:dyDescent="0.25">
      <c r="O122" s="1"/>
      <c r="P122" s="1"/>
      <c r="Q122"/>
      <c r="R122"/>
    </row>
    <row r="123" spans="15:18" x14ac:dyDescent="0.25">
      <c r="O123" s="1"/>
      <c r="P123" s="1"/>
      <c r="Q123"/>
      <c r="R123"/>
    </row>
    <row r="124" spans="15:18" x14ac:dyDescent="0.25">
      <c r="O124" s="1"/>
      <c r="P124" s="1"/>
      <c r="Q124"/>
      <c r="R124"/>
    </row>
    <row r="125" spans="15:18" x14ac:dyDescent="0.25">
      <c r="O125" s="1"/>
      <c r="P125" s="1"/>
      <c r="Q125"/>
      <c r="R125"/>
    </row>
    <row r="126" spans="15:18" x14ac:dyDescent="0.25">
      <c r="O126" s="1"/>
      <c r="P126" s="1"/>
      <c r="Q126"/>
      <c r="R126"/>
    </row>
    <row r="127" spans="15:18" x14ac:dyDescent="0.25">
      <c r="O127" s="1"/>
      <c r="P127" s="1"/>
      <c r="Q127"/>
      <c r="R127"/>
    </row>
    <row r="128" spans="15:18" x14ac:dyDescent="0.25">
      <c r="O128" s="1"/>
      <c r="P128" s="1"/>
      <c r="Q128"/>
      <c r="R128"/>
    </row>
    <row r="129" spans="15:18" x14ac:dyDescent="0.25">
      <c r="O129" s="1"/>
      <c r="P129" s="1"/>
      <c r="Q129"/>
      <c r="R129"/>
    </row>
    <row r="130" spans="15:18" x14ac:dyDescent="0.25">
      <c r="O130" s="1"/>
      <c r="P130" s="1"/>
      <c r="Q130"/>
      <c r="R130"/>
    </row>
    <row r="131" spans="15:18" x14ac:dyDescent="0.25">
      <c r="O131" s="1"/>
      <c r="P131" s="1"/>
      <c r="Q131"/>
      <c r="R131"/>
    </row>
    <row r="132" spans="15:18" x14ac:dyDescent="0.25">
      <c r="O132" s="1"/>
      <c r="P132" s="1"/>
      <c r="Q132"/>
      <c r="R132"/>
    </row>
    <row r="133" spans="15:18" x14ac:dyDescent="0.25">
      <c r="O133" s="1"/>
      <c r="P133" s="1"/>
      <c r="Q133"/>
      <c r="R133"/>
    </row>
    <row r="134" spans="15:18" x14ac:dyDescent="0.25">
      <c r="O134" s="1"/>
      <c r="P134" s="1"/>
      <c r="Q134"/>
      <c r="R134"/>
    </row>
    <row r="135" spans="15:18" x14ac:dyDescent="0.25">
      <c r="O135" s="1"/>
      <c r="P135" s="1"/>
      <c r="Q135"/>
      <c r="R135"/>
    </row>
    <row r="136" spans="15:18" x14ac:dyDescent="0.25">
      <c r="O136" s="1"/>
      <c r="P136" s="1"/>
      <c r="Q136"/>
      <c r="R136"/>
    </row>
    <row r="137" spans="15:18" x14ac:dyDescent="0.25">
      <c r="O137" s="1"/>
      <c r="P137" s="1"/>
      <c r="Q137"/>
      <c r="R137"/>
    </row>
    <row r="138" spans="15:18" x14ac:dyDescent="0.25">
      <c r="O138" s="1"/>
      <c r="P138" s="1"/>
      <c r="Q138"/>
      <c r="R138"/>
    </row>
    <row r="139" spans="15:18" x14ac:dyDescent="0.25">
      <c r="O139" s="1"/>
      <c r="P139" s="1"/>
      <c r="Q139"/>
      <c r="R139"/>
    </row>
    <row r="140" spans="15:18" x14ac:dyDescent="0.25">
      <c r="O140" s="1"/>
      <c r="P140" s="1"/>
      <c r="Q140"/>
      <c r="R140"/>
    </row>
    <row r="141" spans="15:18" x14ac:dyDescent="0.25">
      <c r="O141" s="1"/>
      <c r="P141" s="1"/>
      <c r="Q141"/>
      <c r="R141"/>
    </row>
    <row r="142" spans="15:18" x14ac:dyDescent="0.25">
      <c r="O142" s="1"/>
      <c r="P142" s="1"/>
      <c r="Q142"/>
      <c r="R142"/>
    </row>
    <row r="143" spans="15:18" x14ac:dyDescent="0.25">
      <c r="O143" s="1"/>
      <c r="P143" s="1"/>
      <c r="Q143"/>
      <c r="R143"/>
    </row>
    <row r="144" spans="15:18" x14ac:dyDescent="0.25">
      <c r="O144" s="1"/>
      <c r="P144" s="1"/>
      <c r="Q144"/>
      <c r="R144"/>
    </row>
    <row r="145" spans="15:18" x14ac:dyDescent="0.25">
      <c r="O145" s="1"/>
      <c r="P145" s="1"/>
      <c r="Q145"/>
      <c r="R145"/>
    </row>
    <row r="146" spans="15:18" x14ac:dyDescent="0.25">
      <c r="O146" s="1"/>
      <c r="P146" s="1"/>
      <c r="Q146"/>
      <c r="R146"/>
    </row>
    <row r="147" spans="15:18" x14ac:dyDescent="0.25">
      <c r="O147" s="1"/>
      <c r="P147" s="1"/>
      <c r="Q147"/>
      <c r="R147"/>
    </row>
    <row r="148" spans="15:18" x14ac:dyDescent="0.25">
      <c r="O148" s="1"/>
      <c r="P148" s="1"/>
      <c r="Q148"/>
      <c r="R148"/>
    </row>
    <row r="149" spans="15:18" x14ac:dyDescent="0.25">
      <c r="O149" s="1"/>
      <c r="P149" s="1"/>
      <c r="Q149"/>
      <c r="R149"/>
    </row>
    <row r="150" spans="15:18" x14ac:dyDescent="0.25">
      <c r="O150" s="1"/>
      <c r="P150" s="1"/>
      <c r="Q150"/>
      <c r="R150"/>
    </row>
    <row r="151" spans="15:18" x14ac:dyDescent="0.25">
      <c r="O151" s="1"/>
      <c r="P151" s="1"/>
      <c r="Q151"/>
      <c r="R151"/>
    </row>
    <row r="152" spans="15:18" x14ac:dyDescent="0.25">
      <c r="O152" s="1"/>
      <c r="P152" s="1"/>
      <c r="Q152"/>
      <c r="R152"/>
    </row>
    <row r="153" spans="15:18" x14ac:dyDescent="0.25">
      <c r="O153" s="1"/>
      <c r="P153" s="1"/>
      <c r="Q153"/>
      <c r="R153"/>
    </row>
    <row r="154" spans="15:18" x14ac:dyDescent="0.25">
      <c r="O154" s="1"/>
      <c r="P154" s="1"/>
      <c r="Q154"/>
      <c r="R154"/>
    </row>
    <row r="155" spans="15:18" x14ac:dyDescent="0.25">
      <c r="O155" s="1"/>
      <c r="P155" s="1"/>
      <c r="Q155"/>
      <c r="R155"/>
    </row>
    <row r="156" spans="15:18" x14ac:dyDescent="0.25">
      <c r="O156" s="1"/>
      <c r="P156" s="1"/>
      <c r="Q156"/>
      <c r="R156"/>
    </row>
    <row r="157" spans="15:18" x14ac:dyDescent="0.25">
      <c r="O157" s="1"/>
      <c r="P157" s="1"/>
      <c r="Q157"/>
      <c r="R157"/>
    </row>
    <row r="158" spans="15:18" x14ac:dyDescent="0.25">
      <c r="O158" s="1"/>
      <c r="P158" s="1"/>
      <c r="Q158"/>
      <c r="R158"/>
    </row>
    <row r="159" spans="15:18" x14ac:dyDescent="0.25">
      <c r="O159" s="1"/>
      <c r="P159" s="1"/>
      <c r="Q159"/>
      <c r="R159"/>
    </row>
    <row r="160" spans="15:18" x14ac:dyDescent="0.25">
      <c r="O160" s="1"/>
      <c r="P160" s="1"/>
      <c r="Q160"/>
      <c r="R160"/>
    </row>
    <row r="161" spans="15:18" x14ac:dyDescent="0.25">
      <c r="O161" s="1"/>
      <c r="P161" s="1"/>
      <c r="Q161"/>
      <c r="R161"/>
    </row>
    <row r="162" spans="15:18" x14ac:dyDescent="0.25">
      <c r="O162" s="1"/>
      <c r="P162" s="1"/>
      <c r="Q162"/>
      <c r="R162"/>
    </row>
    <row r="163" spans="15:18" x14ac:dyDescent="0.25">
      <c r="O163" s="1"/>
      <c r="P163" s="1"/>
      <c r="Q163"/>
      <c r="R163"/>
    </row>
    <row r="164" spans="15:18" x14ac:dyDescent="0.25">
      <c r="O164" s="1"/>
      <c r="P164" s="1"/>
      <c r="Q164"/>
      <c r="R164"/>
    </row>
    <row r="165" spans="15:18" x14ac:dyDescent="0.25">
      <c r="O165" s="1"/>
      <c r="P165" s="1"/>
      <c r="Q165"/>
      <c r="R165"/>
    </row>
    <row r="166" spans="15:18" x14ac:dyDescent="0.25">
      <c r="O166" s="1"/>
      <c r="P166" s="1"/>
      <c r="Q166"/>
      <c r="R166"/>
    </row>
    <row r="167" spans="15:18" x14ac:dyDescent="0.25">
      <c r="O167" s="1"/>
      <c r="P167" s="1"/>
      <c r="Q167"/>
      <c r="R167"/>
    </row>
    <row r="168" spans="15:18" x14ac:dyDescent="0.25">
      <c r="O168" s="1"/>
      <c r="P168" s="1"/>
      <c r="Q168"/>
      <c r="R168"/>
    </row>
    <row r="169" spans="15:18" x14ac:dyDescent="0.25">
      <c r="O169" s="1"/>
      <c r="P169" s="1"/>
      <c r="Q169"/>
      <c r="R169"/>
    </row>
    <row r="170" spans="15:18" x14ac:dyDescent="0.25">
      <c r="O170" s="1"/>
      <c r="P170" s="1"/>
      <c r="Q170"/>
      <c r="R170"/>
    </row>
    <row r="171" spans="15:18" x14ac:dyDescent="0.25">
      <c r="O171" s="1"/>
      <c r="P171" s="1"/>
      <c r="Q171"/>
      <c r="R171"/>
    </row>
    <row r="172" spans="15:18" x14ac:dyDescent="0.25">
      <c r="O172" s="1"/>
      <c r="P172" s="1"/>
      <c r="Q172"/>
      <c r="R172"/>
    </row>
    <row r="173" spans="15:18" x14ac:dyDescent="0.25">
      <c r="O173" s="1"/>
      <c r="P173" s="1"/>
      <c r="Q173"/>
      <c r="R173"/>
    </row>
    <row r="174" spans="15:18" x14ac:dyDescent="0.25">
      <c r="O174" s="1"/>
      <c r="P174" s="1"/>
      <c r="Q174"/>
      <c r="R174"/>
    </row>
    <row r="175" spans="15:18" x14ac:dyDescent="0.25">
      <c r="O175" s="1"/>
      <c r="P175" s="1"/>
      <c r="Q175"/>
      <c r="R175"/>
    </row>
    <row r="176" spans="15:18" x14ac:dyDescent="0.25">
      <c r="O176" s="1"/>
      <c r="P176" s="1"/>
      <c r="Q176"/>
      <c r="R176"/>
    </row>
    <row r="177" spans="15:18" x14ac:dyDescent="0.25">
      <c r="O177" s="1"/>
      <c r="P177" s="1"/>
      <c r="Q177"/>
      <c r="R177"/>
    </row>
    <row r="178" spans="15:18" x14ac:dyDescent="0.25">
      <c r="O178" s="1"/>
      <c r="P178" s="1"/>
      <c r="Q178"/>
      <c r="R178"/>
    </row>
    <row r="179" spans="15:18" x14ac:dyDescent="0.25">
      <c r="O179" s="1"/>
      <c r="P179" s="1"/>
      <c r="Q179"/>
      <c r="R179"/>
    </row>
    <row r="180" spans="15:18" x14ac:dyDescent="0.25">
      <c r="O180" s="1"/>
      <c r="P180" s="1"/>
      <c r="Q180"/>
      <c r="R180"/>
    </row>
    <row r="181" spans="15:18" x14ac:dyDescent="0.25">
      <c r="O181" s="1"/>
      <c r="P181" s="1"/>
      <c r="Q181"/>
      <c r="R181"/>
    </row>
    <row r="182" spans="15:18" x14ac:dyDescent="0.25">
      <c r="O182" s="1"/>
      <c r="P182" s="1"/>
      <c r="Q182"/>
      <c r="R182"/>
    </row>
    <row r="183" spans="15:18" x14ac:dyDescent="0.25">
      <c r="O183" s="1"/>
      <c r="P183" s="1"/>
      <c r="Q183"/>
      <c r="R183"/>
    </row>
    <row r="184" spans="15:18" x14ac:dyDescent="0.25">
      <c r="O184" s="1"/>
      <c r="P184" s="1"/>
      <c r="Q184"/>
      <c r="R184"/>
    </row>
    <row r="185" spans="15:18" x14ac:dyDescent="0.25">
      <c r="O185" s="1"/>
      <c r="P185" s="1"/>
      <c r="Q185"/>
      <c r="R185"/>
    </row>
    <row r="186" spans="15:18" x14ac:dyDescent="0.25">
      <c r="O186" s="1"/>
      <c r="P186" s="1"/>
      <c r="Q186"/>
      <c r="R186"/>
    </row>
    <row r="187" spans="15:18" x14ac:dyDescent="0.25">
      <c r="O187" s="1"/>
      <c r="P187" s="1"/>
      <c r="Q187"/>
      <c r="R187"/>
    </row>
    <row r="188" spans="15:18" x14ac:dyDescent="0.25">
      <c r="O188" s="1"/>
      <c r="P188" s="1"/>
      <c r="Q188"/>
      <c r="R188"/>
    </row>
    <row r="189" spans="15:18" x14ac:dyDescent="0.25">
      <c r="O189" s="1"/>
      <c r="P189" s="1"/>
      <c r="Q189"/>
      <c r="R189"/>
    </row>
    <row r="190" spans="15:18" x14ac:dyDescent="0.25">
      <c r="O190" s="1"/>
      <c r="P190" s="1"/>
      <c r="Q190"/>
      <c r="R190"/>
    </row>
    <row r="191" spans="15:18" x14ac:dyDescent="0.25">
      <c r="O191" s="1"/>
      <c r="P191" s="1"/>
      <c r="Q191"/>
      <c r="R191"/>
    </row>
    <row r="192" spans="15:18" x14ac:dyDescent="0.25">
      <c r="O192" s="1"/>
      <c r="P192" s="1"/>
      <c r="Q192"/>
      <c r="R192"/>
    </row>
    <row r="193" spans="15:18" x14ac:dyDescent="0.25">
      <c r="O193" s="1"/>
      <c r="P193" s="1"/>
      <c r="Q193"/>
      <c r="R193"/>
    </row>
    <row r="194" spans="15:18" x14ac:dyDescent="0.25">
      <c r="O194" s="1"/>
      <c r="P194" s="1"/>
      <c r="Q194"/>
      <c r="R194"/>
    </row>
    <row r="195" spans="15:18" x14ac:dyDescent="0.25">
      <c r="O195" s="1"/>
      <c r="P195" s="1"/>
      <c r="Q195"/>
      <c r="R195"/>
    </row>
    <row r="196" spans="15:18" x14ac:dyDescent="0.25">
      <c r="O196" s="1"/>
      <c r="P196" s="1"/>
      <c r="Q196"/>
      <c r="R196"/>
    </row>
    <row r="197" spans="15:18" x14ac:dyDescent="0.25">
      <c r="O197" s="1"/>
      <c r="P197" s="1"/>
      <c r="Q197"/>
      <c r="R197"/>
    </row>
    <row r="198" spans="15:18" x14ac:dyDescent="0.25">
      <c r="O198" s="1"/>
      <c r="P198" s="1"/>
      <c r="Q198"/>
      <c r="R198"/>
    </row>
    <row r="199" spans="15:18" x14ac:dyDescent="0.25">
      <c r="O199" s="1"/>
      <c r="P199" s="1"/>
      <c r="Q199"/>
      <c r="R199"/>
    </row>
    <row r="200" spans="15:18" x14ac:dyDescent="0.25">
      <c r="O200" s="1"/>
      <c r="P200" s="1"/>
      <c r="Q200"/>
      <c r="R200"/>
    </row>
    <row r="201" spans="15:18" x14ac:dyDescent="0.25">
      <c r="O201" s="1"/>
      <c r="P201" s="1"/>
      <c r="Q201"/>
      <c r="R201"/>
    </row>
    <row r="202" spans="15:18" x14ac:dyDescent="0.25">
      <c r="O202" s="1"/>
      <c r="P202" s="1"/>
      <c r="Q202"/>
      <c r="R202"/>
    </row>
    <row r="203" spans="15:18" x14ac:dyDescent="0.25">
      <c r="O203" s="1"/>
      <c r="P203" s="1"/>
      <c r="Q203"/>
      <c r="R203"/>
    </row>
    <row r="204" spans="15:18" x14ac:dyDescent="0.25">
      <c r="O204" s="1"/>
      <c r="P204" s="1"/>
      <c r="Q204"/>
      <c r="R204"/>
    </row>
    <row r="205" spans="15:18" x14ac:dyDescent="0.25">
      <c r="O205" s="1"/>
      <c r="P205" s="1"/>
      <c r="Q205"/>
      <c r="R205"/>
    </row>
    <row r="206" spans="15:18" x14ac:dyDescent="0.25">
      <c r="O206" s="1"/>
      <c r="P206" s="1"/>
      <c r="Q206"/>
      <c r="R206"/>
    </row>
    <row r="207" spans="15:18" x14ac:dyDescent="0.25">
      <c r="O207" s="1"/>
      <c r="P207" s="1"/>
      <c r="Q207"/>
      <c r="R207"/>
    </row>
    <row r="208" spans="15:18" x14ac:dyDescent="0.25">
      <c r="O208" s="1"/>
      <c r="P208" s="1"/>
      <c r="Q208"/>
      <c r="R208"/>
    </row>
    <row r="209" spans="15:18" x14ac:dyDescent="0.25">
      <c r="O209" s="1"/>
      <c r="P209" s="1"/>
      <c r="Q209"/>
      <c r="R209"/>
    </row>
    <row r="210" spans="15:18" x14ac:dyDescent="0.25">
      <c r="O210" s="1"/>
      <c r="P210" s="1"/>
      <c r="Q210"/>
      <c r="R210"/>
    </row>
    <row r="211" spans="15:18" x14ac:dyDescent="0.25">
      <c r="O211" s="1"/>
      <c r="P211" s="1"/>
      <c r="Q211"/>
      <c r="R211"/>
    </row>
    <row r="212" spans="15:18" x14ac:dyDescent="0.25">
      <c r="O212" s="1"/>
      <c r="P212" s="1"/>
      <c r="Q212"/>
      <c r="R212"/>
    </row>
    <row r="213" spans="15:18" x14ac:dyDescent="0.25">
      <c r="O213" s="1"/>
      <c r="P213" s="1"/>
      <c r="Q213"/>
      <c r="R213"/>
    </row>
    <row r="214" spans="15:18" x14ac:dyDescent="0.25">
      <c r="O214" s="1"/>
      <c r="P214" s="1"/>
      <c r="Q214"/>
      <c r="R214"/>
    </row>
    <row r="215" spans="15:18" x14ac:dyDescent="0.25">
      <c r="O215" s="1"/>
      <c r="P215" s="1"/>
      <c r="Q215"/>
      <c r="R215"/>
    </row>
    <row r="216" spans="15:18" x14ac:dyDescent="0.25">
      <c r="O216" s="1"/>
      <c r="P216" s="1"/>
      <c r="Q216"/>
      <c r="R216"/>
    </row>
    <row r="217" spans="15:18" x14ac:dyDescent="0.25">
      <c r="O217" s="1"/>
      <c r="P217" s="1"/>
      <c r="Q217"/>
      <c r="R217"/>
    </row>
    <row r="218" spans="15:18" x14ac:dyDescent="0.25">
      <c r="O218" s="1"/>
      <c r="P218" s="1"/>
      <c r="Q218"/>
      <c r="R218"/>
    </row>
    <row r="219" spans="15:18" x14ac:dyDescent="0.25">
      <c r="O219" s="1"/>
      <c r="P219" s="1"/>
      <c r="Q219"/>
      <c r="R219"/>
    </row>
    <row r="220" spans="15:18" x14ac:dyDescent="0.25">
      <c r="O220" s="1"/>
      <c r="P220" s="1"/>
      <c r="Q220"/>
      <c r="R220"/>
    </row>
    <row r="221" spans="15:18" x14ac:dyDescent="0.25">
      <c r="O221" s="1"/>
      <c r="P221" s="1"/>
      <c r="Q221"/>
      <c r="R221"/>
    </row>
    <row r="222" spans="15:18" x14ac:dyDescent="0.25">
      <c r="O222" s="1"/>
      <c r="P222" s="1"/>
      <c r="Q222"/>
      <c r="R222"/>
    </row>
    <row r="223" spans="15:18" x14ac:dyDescent="0.25">
      <c r="O223" s="1"/>
      <c r="P223" s="1"/>
      <c r="Q223"/>
      <c r="R223"/>
    </row>
    <row r="224" spans="15:18" x14ac:dyDescent="0.25">
      <c r="O224" s="1"/>
      <c r="P224" s="1"/>
      <c r="Q224"/>
      <c r="R224"/>
    </row>
    <row r="225" spans="15:18" x14ac:dyDescent="0.25">
      <c r="O225" s="1"/>
      <c r="P225" s="1"/>
      <c r="Q225"/>
      <c r="R225"/>
    </row>
    <row r="226" spans="15:18" x14ac:dyDescent="0.25">
      <c r="O226" s="1"/>
      <c r="P226" s="1"/>
      <c r="Q226"/>
      <c r="R226"/>
    </row>
    <row r="227" spans="15:18" x14ac:dyDescent="0.25">
      <c r="O227" s="1"/>
      <c r="P227" s="1"/>
      <c r="Q227"/>
      <c r="R227"/>
    </row>
    <row r="228" spans="15:18" x14ac:dyDescent="0.25">
      <c r="O228" s="1"/>
      <c r="P228" s="1"/>
      <c r="Q228"/>
      <c r="R228"/>
    </row>
    <row r="229" spans="15:18" x14ac:dyDescent="0.25">
      <c r="O229" s="1"/>
      <c r="P229" s="1"/>
      <c r="Q229"/>
      <c r="R229"/>
    </row>
    <row r="230" spans="15:18" x14ac:dyDescent="0.25">
      <c r="O230" s="1"/>
      <c r="P230" s="1"/>
      <c r="Q230"/>
      <c r="R230"/>
    </row>
    <row r="231" spans="15:18" x14ac:dyDescent="0.25">
      <c r="O231" s="1"/>
      <c r="P231" s="1"/>
      <c r="Q231"/>
      <c r="R231"/>
    </row>
    <row r="232" spans="15:18" x14ac:dyDescent="0.25">
      <c r="O232" s="1"/>
      <c r="P232" s="1"/>
      <c r="Q232"/>
      <c r="R232"/>
    </row>
    <row r="233" spans="15:18" x14ac:dyDescent="0.25">
      <c r="O233" s="1"/>
      <c r="P233" s="1"/>
      <c r="Q233"/>
      <c r="R233"/>
    </row>
    <row r="234" spans="15:18" x14ac:dyDescent="0.25">
      <c r="O234" s="1"/>
      <c r="P234" s="1"/>
      <c r="Q234"/>
      <c r="R234"/>
    </row>
    <row r="235" spans="15:18" x14ac:dyDescent="0.25">
      <c r="O235" s="1"/>
      <c r="P235" s="1"/>
      <c r="Q235"/>
      <c r="R235"/>
    </row>
    <row r="236" spans="15:18" x14ac:dyDescent="0.25">
      <c r="O236" s="1"/>
      <c r="P236" s="1"/>
      <c r="Q236"/>
      <c r="R236"/>
    </row>
    <row r="237" spans="15:18" x14ac:dyDescent="0.25">
      <c r="O237" s="1"/>
      <c r="P237" s="1"/>
      <c r="Q237"/>
      <c r="R237"/>
    </row>
    <row r="238" spans="15:18" x14ac:dyDescent="0.25">
      <c r="O238" s="1"/>
      <c r="P238" s="1"/>
      <c r="Q238"/>
      <c r="R238"/>
    </row>
    <row r="239" spans="15:18" x14ac:dyDescent="0.25">
      <c r="O239" s="1"/>
      <c r="P239" s="1"/>
      <c r="Q239"/>
      <c r="R239"/>
    </row>
    <row r="240" spans="15:18" x14ac:dyDescent="0.25">
      <c r="O240" s="1"/>
      <c r="P240" s="1"/>
      <c r="Q240"/>
      <c r="R240"/>
    </row>
    <row r="241" spans="15:18" x14ac:dyDescent="0.25">
      <c r="O241" s="1"/>
      <c r="P241" s="1"/>
      <c r="Q241"/>
      <c r="R241"/>
    </row>
    <row r="242" spans="15:18" x14ac:dyDescent="0.25">
      <c r="O242" s="1"/>
      <c r="P242" s="1"/>
      <c r="Q242"/>
      <c r="R242"/>
    </row>
    <row r="243" spans="15:18" x14ac:dyDescent="0.25">
      <c r="O243" s="1"/>
      <c r="P243" s="1"/>
      <c r="Q243"/>
      <c r="R243"/>
    </row>
    <row r="244" spans="15:18" x14ac:dyDescent="0.25">
      <c r="O244" s="1"/>
      <c r="P244" s="1"/>
      <c r="Q244"/>
      <c r="R244"/>
    </row>
    <row r="245" spans="15:18" x14ac:dyDescent="0.25">
      <c r="O245" s="1"/>
      <c r="P245" s="1"/>
      <c r="Q245"/>
      <c r="R245"/>
    </row>
    <row r="246" spans="15:18" x14ac:dyDescent="0.25">
      <c r="O246" s="1"/>
      <c r="P246" s="1"/>
      <c r="Q246"/>
      <c r="R246"/>
    </row>
    <row r="247" spans="15:18" x14ac:dyDescent="0.25">
      <c r="O247" s="1"/>
      <c r="P247" s="1"/>
      <c r="Q247"/>
      <c r="R247"/>
    </row>
    <row r="248" spans="15:18" x14ac:dyDescent="0.25">
      <c r="O248" s="1"/>
      <c r="P248" s="1"/>
      <c r="Q248"/>
      <c r="R248"/>
    </row>
    <row r="249" spans="15:18" x14ac:dyDescent="0.25">
      <c r="O249" s="1"/>
      <c r="P249" s="1"/>
      <c r="Q249"/>
      <c r="R249"/>
    </row>
    <row r="250" spans="15:18" x14ac:dyDescent="0.25">
      <c r="O250" s="1"/>
      <c r="P250" s="1"/>
      <c r="Q250"/>
      <c r="R250"/>
    </row>
    <row r="251" spans="15:18" x14ac:dyDescent="0.25">
      <c r="O251" s="1"/>
      <c r="P251" s="1"/>
      <c r="Q251"/>
      <c r="R251"/>
    </row>
    <row r="252" spans="15:18" x14ac:dyDescent="0.25">
      <c r="O252" s="1"/>
      <c r="P252" s="1"/>
      <c r="Q252"/>
      <c r="R252"/>
    </row>
    <row r="253" spans="15:18" x14ac:dyDescent="0.25">
      <c r="O253" s="1"/>
      <c r="P253" s="1"/>
      <c r="Q253"/>
      <c r="R253"/>
    </row>
    <row r="254" spans="15:18" x14ac:dyDescent="0.25">
      <c r="O254" s="1"/>
      <c r="P254" s="1"/>
      <c r="Q254"/>
      <c r="R254"/>
    </row>
    <row r="255" spans="15:18" x14ac:dyDescent="0.25">
      <c r="O255" s="1"/>
      <c r="P255" s="1"/>
      <c r="Q255"/>
      <c r="R255"/>
    </row>
    <row r="256" spans="15:18" x14ac:dyDescent="0.25">
      <c r="O256" s="1"/>
      <c r="P256" s="1"/>
      <c r="Q256"/>
      <c r="R256"/>
    </row>
    <row r="257" spans="15:18" x14ac:dyDescent="0.25">
      <c r="O257" s="1"/>
      <c r="P257" s="1"/>
      <c r="Q257"/>
      <c r="R257"/>
    </row>
    <row r="258" spans="15:18" x14ac:dyDescent="0.25">
      <c r="O258" s="1"/>
      <c r="P258" s="1"/>
      <c r="Q258"/>
      <c r="R258"/>
    </row>
    <row r="259" spans="15:18" x14ac:dyDescent="0.25">
      <c r="O259" s="1"/>
      <c r="P259" s="1"/>
      <c r="Q259"/>
      <c r="R259"/>
    </row>
    <row r="260" spans="15:18" x14ac:dyDescent="0.25">
      <c r="O260" s="1"/>
      <c r="P260" s="1"/>
      <c r="Q260"/>
      <c r="R260"/>
    </row>
    <row r="261" spans="15:18" x14ac:dyDescent="0.25">
      <c r="O261" s="1"/>
      <c r="P261" s="1"/>
      <c r="Q261"/>
      <c r="R261"/>
    </row>
    <row r="262" spans="15:18" x14ac:dyDescent="0.25">
      <c r="O262" s="1"/>
      <c r="P262" s="1"/>
      <c r="Q262"/>
      <c r="R262"/>
    </row>
    <row r="263" spans="15:18" x14ac:dyDescent="0.25">
      <c r="O263" s="1"/>
      <c r="P263" s="1"/>
      <c r="Q263"/>
      <c r="R263"/>
    </row>
    <row r="264" spans="15:18" x14ac:dyDescent="0.25">
      <c r="O264" s="1"/>
      <c r="P264" s="1"/>
      <c r="Q264"/>
      <c r="R264"/>
    </row>
    <row r="265" spans="15:18" x14ac:dyDescent="0.25">
      <c r="O265" s="1"/>
      <c r="P265" s="1"/>
      <c r="Q265"/>
      <c r="R265"/>
    </row>
    <row r="266" spans="15:18" x14ac:dyDescent="0.25">
      <c r="O266" s="1"/>
      <c r="P266" s="1"/>
      <c r="Q266"/>
      <c r="R266"/>
    </row>
    <row r="267" spans="15:18" x14ac:dyDescent="0.25">
      <c r="O267" s="1"/>
      <c r="P267" s="1"/>
      <c r="Q267"/>
      <c r="R267"/>
    </row>
    <row r="268" spans="15:18" x14ac:dyDescent="0.25">
      <c r="O268" s="1"/>
      <c r="P268" s="1"/>
      <c r="Q268"/>
      <c r="R268"/>
    </row>
    <row r="269" spans="15:18" x14ac:dyDescent="0.25">
      <c r="O269" s="1"/>
      <c r="P269" s="1"/>
      <c r="Q269"/>
      <c r="R269"/>
    </row>
    <row r="270" spans="15:18" x14ac:dyDescent="0.25">
      <c r="O270" s="1"/>
      <c r="P270" s="1"/>
      <c r="Q270"/>
      <c r="R270"/>
    </row>
    <row r="271" spans="15:18" x14ac:dyDescent="0.25">
      <c r="O271" s="1"/>
      <c r="P271" s="1"/>
      <c r="Q271"/>
      <c r="R271"/>
    </row>
    <row r="272" spans="15:18" x14ac:dyDescent="0.25">
      <c r="O272" s="1"/>
      <c r="P272" s="1"/>
      <c r="Q272"/>
      <c r="R272"/>
    </row>
    <row r="273" spans="15:18" x14ac:dyDescent="0.25">
      <c r="O273" s="1"/>
      <c r="P273" s="1"/>
      <c r="Q273"/>
      <c r="R273"/>
    </row>
    <row r="274" spans="15:18" x14ac:dyDescent="0.25">
      <c r="O274" s="1"/>
      <c r="P274" s="1"/>
      <c r="Q274"/>
      <c r="R274"/>
    </row>
    <row r="275" spans="15:18" x14ac:dyDescent="0.25">
      <c r="O275" s="1"/>
      <c r="P275" s="1"/>
      <c r="Q275"/>
      <c r="R275"/>
    </row>
    <row r="276" spans="15:18" x14ac:dyDescent="0.25">
      <c r="O276" s="1"/>
      <c r="P276" s="1"/>
      <c r="Q276"/>
      <c r="R276"/>
    </row>
    <row r="277" spans="15:18" x14ac:dyDescent="0.25">
      <c r="O277" s="1"/>
      <c r="P277" s="1"/>
      <c r="Q277"/>
      <c r="R277"/>
    </row>
    <row r="278" spans="15:18" x14ac:dyDescent="0.25">
      <c r="O278" s="1"/>
      <c r="P278" s="1"/>
      <c r="Q278"/>
      <c r="R278"/>
    </row>
    <row r="279" spans="15:18" x14ac:dyDescent="0.25">
      <c r="O279" s="1"/>
      <c r="P279" s="1"/>
      <c r="Q279"/>
      <c r="R279"/>
    </row>
    <row r="280" spans="15:18" x14ac:dyDescent="0.25">
      <c r="O280" s="1"/>
      <c r="P280" s="1"/>
      <c r="Q280"/>
      <c r="R280"/>
    </row>
    <row r="281" spans="15:18" x14ac:dyDescent="0.25">
      <c r="O281" s="1"/>
      <c r="P281" s="1"/>
      <c r="Q281"/>
      <c r="R281"/>
    </row>
    <row r="282" spans="15:18" x14ac:dyDescent="0.25">
      <c r="O282" s="1"/>
      <c r="P282" s="1"/>
      <c r="Q282"/>
      <c r="R282"/>
    </row>
    <row r="283" spans="15:18" x14ac:dyDescent="0.25">
      <c r="O283" s="1"/>
      <c r="P283" s="1"/>
      <c r="Q283"/>
      <c r="R283"/>
    </row>
    <row r="284" spans="15:18" x14ac:dyDescent="0.25">
      <c r="O284" s="1"/>
      <c r="P284" s="1"/>
      <c r="Q284"/>
      <c r="R284"/>
    </row>
    <row r="285" spans="15:18" x14ac:dyDescent="0.25">
      <c r="O285" s="1"/>
      <c r="P285" s="1"/>
      <c r="Q285"/>
      <c r="R285"/>
    </row>
    <row r="286" spans="15:18" x14ac:dyDescent="0.25">
      <c r="O286" s="1"/>
      <c r="P286" s="1"/>
      <c r="Q286"/>
      <c r="R286"/>
    </row>
    <row r="287" spans="15:18" x14ac:dyDescent="0.25">
      <c r="O287" s="1"/>
      <c r="P287" s="1"/>
      <c r="Q287"/>
      <c r="R287"/>
    </row>
    <row r="288" spans="15:18" x14ac:dyDescent="0.25">
      <c r="O288" s="1"/>
      <c r="P288" s="1"/>
      <c r="Q288"/>
      <c r="R288"/>
    </row>
    <row r="289" spans="15:18" x14ac:dyDescent="0.25">
      <c r="O289" s="1"/>
      <c r="P289" s="1"/>
      <c r="Q289"/>
      <c r="R289"/>
    </row>
    <row r="290" spans="15:18" x14ac:dyDescent="0.25">
      <c r="O290" s="1"/>
      <c r="P290" s="1"/>
      <c r="Q290"/>
      <c r="R290"/>
    </row>
    <row r="291" spans="15:18" x14ac:dyDescent="0.25">
      <c r="O291" s="1"/>
      <c r="P291" s="1"/>
      <c r="Q291"/>
      <c r="R291"/>
    </row>
    <row r="292" spans="15:18" x14ac:dyDescent="0.25">
      <c r="O292" s="1"/>
      <c r="P292" s="1"/>
      <c r="Q292"/>
      <c r="R292"/>
    </row>
    <row r="293" spans="15:18" x14ac:dyDescent="0.25">
      <c r="O293" s="1"/>
      <c r="P293" s="1"/>
      <c r="Q293"/>
      <c r="R293"/>
    </row>
    <row r="294" spans="15:18" x14ac:dyDescent="0.25">
      <c r="O294" s="1"/>
      <c r="P294" s="1"/>
      <c r="Q294"/>
      <c r="R294"/>
    </row>
    <row r="295" spans="15:18" x14ac:dyDescent="0.25">
      <c r="O295" s="1"/>
      <c r="P295" s="1"/>
      <c r="Q295"/>
      <c r="R295"/>
    </row>
    <row r="296" spans="15:18" x14ac:dyDescent="0.25">
      <c r="O296" s="1"/>
      <c r="P296" s="1"/>
      <c r="Q296"/>
      <c r="R296"/>
    </row>
    <row r="297" spans="15:18" x14ac:dyDescent="0.25">
      <c r="O297" s="1"/>
      <c r="P297" s="1"/>
      <c r="Q297"/>
      <c r="R297"/>
    </row>
    <row r="298" spans="15:18" x14ac:dyDescent="0.25">
      <c r="O298" s="1"/>
      <c r="P298" s="1"/>
      <c r="Q298"/>
      <c r="R298"/>
    </row>
    <row r="299" spans="15:18" x14ac:dyDescent="0.25">
      <c r="O299" s="1"/>
      <c r="P299" s="1"/>
      <c r="Q299"/>
      <c r="R299"/>
    </row>
    <row r="300" spans="15:18" x14ac:dyDescent="0.25">
      <c r="O300" s="1"/>
      <c r="P300" s="1"/>
      <c r="Q300"/>
      <c r="R300"/>
    </row>
    <row r="301" spans="15:18" x14ac:dyDescent="0.25">
      <c r="O301" s="1"/>
      <c r="P301" s="1"/>
      <c r="Q301"/>
      <c r="R301"/>
    </row>
    <row r="302" spans="15:18" x14ac:dyDescent="0.25">
      <c r="O302" s="1"/>
      <c r="P302" s="1"/>
      <c r="Q302"/>
      <c r="R302"/>
    </row>
    <row r="303" spans="15:18" x14ac:dyDescent="0.25">
      <c r="O303" s="1"/>
      <c r="P303" s="1"/>
      <c r="Q303"/>
      <c r="R303"/>
    </row>
    <row r="304" spans="15:18" x14ac:dyDescent="0.25">
      <c r="O304" s="1"/>
      <c r="P304" s="1"/>
      <c r="Q304"/>
      <c r="R304"/>
    </row>
    <row r="305" spans="15:18" x14ac:dyDescent="0.25">
      <c r="O305" s="1"/>
      <c r="P305" s="1"/>
      <c r="Q305"/>
      <c r="R305"/>
    </row>
    <row r="306" spans="15:18" x14ac:dyDescent="0.25">
      <c r="O306" s="1"/>
      <c r="P306" s="1"/>
      <c r="Q306"/>
      <c r="R306"/>
    </row>
    <row r="307" spans="15:18" x14ac:dyDescent="0.25">
      <c r="O307" s="1"/>
      <c r="P307" s="1"/>
      <c r="Q307"/>
      <c r="R307"/>
    </row>
    <row r="308" spans="15:18" x14ac:dyDescent="0.25">
      <c r="O308" s="1"/>
      <c r="P308" s="1"/>
      <c r="Q308"/>
      <c r="R308"/>
    </row>
    <row r="309" spans="15:18" x14ac:dyDescent="0.25">
      <c r="O309" s="1"/>
      <c r="P309" s="1"/>
      <c r="Q309"/>
      <c r="R309"/>
    </row>
    <row r="310" spans="15:18" x14ac:dyDescent="0.25">
      <c r="O310" s="1"/>
      <c r="P310" s="1"/>
      <c r="Q310"/>
      <c r="R310"/>
    </row>
    <row r="311" spans="15:18" x14ac:dyDescent="0.25">
      <c r="O311" s="1"/>
      <c r="P311" s="1"/>
      <c r="Q311"/>
      <c r="R311"/>
    </row>
    <row r="312" spans="15:18" x14ac:dyDescent="0.25">
      <c r="O312" s="1"/>
      <c r="P312" s="1"/>
      <c r="Q312"/>
      <c r="R312"/>
    </row>
    <row r="313" spans="15:18" x14ac:dyDescent="0.25">
      <c r="O313" s="1"/>
      <c r="P313" s="1"/>
      <c r="Q313"/>
      <c r="R313"/>
    </row>
    <row r="314" spans="15:18" x14ac:dyDescent="0.25">
      <c r="O314" s="1"/>
      <c r="P314" s="1"/>
      <c r="Q314"/>
      <c r="R314"/>
    </row>
    <row r="315" spans="15:18" x14ac:dyDescent="0.25">
      <c r="O315" s="1"/>
      <c r="P315" s="1"/>
      <c r="Q315"/>
      <c r="R315"/>
    </row>
    <row r="316" spans="15:18" x14ac:dyDescent="0.25">
      <c r="O316" s="1"/>
      <c r="P316" s="1"/>
      <c r="Q316"/>
      <c r="R316"/>
    </row>
    <row r="317" spans="15:18" x14ac:dyDescent="0.25">
      <c r="O317" s="1"/>
      <c r="P317" s="1"/>
      <c r="Q317"/>
      <c r="R317"/>
    </row>
    <row r="318" spans="15:18" x14ac:dyDescent="0.25">
      <c r="O318" s="1"/>
      <c r="P318" s="1"/>
      <c r="Q318"/>
      <c r="R318"/>
    </row>
    <row r="319" spans="15:18" x14ac:dyDescent="0.25">
      <c r="O319" s="1"/>
      <c r="P319" s="1"/>
      <c r="Q319"/>
      <c r="R319"/>
    </row>
    <row r="320" spans="15:18" x14ac:dyDescent="0.25">
      <c r="O320" s="1"/>
      <c r="P320" s="1"/>
      <c r="Q320"/>
      <c r="R320"/>
    </row>
    <row r="321" spans="15:18" x14ac:dyDescent="0.25">
      <c r="O321" s="1"/>
      <c r="P321" s="1"/>
      <c r="Q321"/>
      <c r="R321"/>
    </row>
    <row r="322" spans="15:18" x14ac:dyDescent="0.25">
      <c r="O322" s="1"/>
      <c r="P322" s="1"/>
      <c r="Q322"/>
      <c r="R322"/>
    </row>
    <row r="323" spans="15:18" x14ac:dyDescent="0.25">
      <c r="O323" s="1"/>
      <c r="P323" s="1"/>
      <c r="Q323"/>
      <c r="R323"/>
    </row>
    <row r="324" spans="15:18" x14ac:dyDescent="0.25">
      <c r="O324" s="1"/>
      <c r="P324" s="1"/>
      <c r="Q324"/>
      <c r="R324"/>
    </row>
    <row r="325" spans="15:18" x14ac:dyDescent="0.25">
      <c r="O325" s="1"/>
      <c r="P325" s="1"/>
      <c r="Q325"/>
      <c r="R325"/>
    </row>
    <row r="326" spans="15:18" x14ac:dyDescent="0.25">
      <c r="O326" s="1"/>
      <c r="P326" s="1"/>
      <c r="Q326"/>
      <c r="R326"/>
    </row>
    <row r="327" spans="15:18" x14ac:dyDescent="0.25">
      <c r="O327" s="1"/>
      <c r="P327" s="1"/>
      <c r="Q327"/>
      <c r="R327"/>
    </row>
    <row r="328" spans="15:18" x14ac:dyDescent="0.25">
      <c r="O328" s="1"/>
      <c r="P328" s="1"/>
      <c r="Q328"/>
      <c r="R328"/>
    </row>
    <row r="329" spans="15:18" x14ac:dyDescent="0.25">
      <c r="O329" s="1"/>
      <c r="P329" s="1"/>
      <c r="Q329"/>
      <c r="R329"/>
    </row>
    <row r="330" spans="15:18" x14ac:dyDescent="0.25">
      <c r="O330" s="1"/>
      <c r="P330" s="1"/>
      <c r="Q330"/>
      <c r="R330"/>
    </row>
    <row r="331" spans="15:18" x14ac:dyDescent="0.25">
      <c r="O331" s="1"/>
      <c r="P331" s="1"/>
      <c r="Q331"/>
      <c r="R331"/>
    </row>
    <row r="332" spans="15:18" x14ac:dyDescent="0.25">
      <c r="O332" s="1"/>
      <c r="P332" s="1"/>
      <c r="Q332"/>
      <c r="R332"/>
    </row>
    <row r="333" spans="15:18" x14ac:dyDescent="0.25">
      <c r="O333" s="1"/>
      <c r="P333" s="1"/>
      <c r="Q333"/>
      <c r="R333"/>
    </row>
    <row r="334" spans="15:18" x14ac:dyDescent="0.25">
      <c r="O334" s="1"/>
      <c r="P334" s="1"/>
      <c r="Q334"/>
      <c r="R334"/>
    </row>
    <row r="335" spans="15:18" x14ac:dyDescent="0.25">
      <c r="O335" s="1"/>
      <c r="P335" s="1"/>
      <c r="Q335"/>
      <c r="R335"/>
    </row>
    <row r="336" spans="15:18" x14ac:dyDescent="0.25">
      <c r="O336" s="1"/>
      <c r="P336" s="1"/>
      <c r="Q336"/>
      <c r="R336"/>
    </row>
    <row r="337" spans="15:18" x14ac:dyDescent="0.25">
      <c r="O337" s="1"/>
      <c r="P337" s="1"/>
      <c r="Q337"/>
      <c r="R337"/>
    </row>
    <row r="338" spans="15:18" x14ac:dyDescent="0.25">
      <c r="O338" s="1"/>
      <c r="P338" s="1"/>
      <c r="Q338"/>
      <c r="R338"/>
    </row>
    <row r="339" spans="15:18" x14ac:dyDescent="0.25">
      <c r="O339" s="1"/>
      <c r="P339" s="1"/>
      <c r="Q339"/>
      <c r="R339"/>
    </row>
    <row r="340" spans="15:18" x14ac:dyDescent="0.25">
      <c r="O340" s="1"/>
      <c r="P340" s="1"/>
      <c r="Q340"/>
      <c r="R340"/>
    </row>
    <row r="341" spans="15:18" x14ac:dyDescent="0.25">
      <c r="O341" s="1"/>
      <c r="P341" s="1"/>
      <c r="Q341"/>
      <c r="R341"/>
    </row>
    <row r="342" spans="15:18" x14ac:dyDescent="0.25">
      <c r="O342" s="1"/>
      <c r="P342" s="1"/>
      <c r="Q342"/>
      <c r="R342"/>
    </row>
    <row r="343" spans="15:18" x14ac:dyDescent="0.25">
      <c r="O343" s="1"/>
      <c r="P343" s="1"/>
      <c r="Q343"/>
      <c r="R343"/>
    </row>
    <row r="344" spans="15:18" x14ac:dyDescent="0.25">
      <c r="O344" s="1"/>
      <c r="P344" s="1"/>
      <c r="Q344"/>
      <c r="R344"/>
    </row>
    <row r="345" spans="15:18" x14ac:dyDescent="0.25">
      <c r="O345" s="1"/>
      <c r="P345" s="1"/>
      <c r="Q345"/>
      <c r="R345"/>
    </row>
    <row r="346" spans="15:18" x14ac:dyDescent="0.25">
      <c r="O346" s="1"/>
      <c r="P346" s="1"/>
      <c r="Q346"/>
      <c r="R346"/>
    </row>
    <row r="347" spans="15:18" x14ac:dyDescent="0.25">
      <c r="O347" s="1"/>
      <c r="P347" s="1"/>
      <c r="Q347"/>
      <c r="R347"/>
    </row>
    <row r="348" spans="15:18" x14ac:dyDescent="0.25">
      <c r="O348" s="1"/>
      <c r="P348" s="1"/>
      <c r="Q348"/>
      <c r="R348"/>
    </row>
    <row r="349" spans="15:18" x14ac:dyDescent="0.25">
      <c r="O349" s="1"/>
      <c r="P349" s="1"/>
      <c r="Q349"/>
      <c r="R349"/>
    </row>
    <row r="350" spans="15:18" x14ac:dyDescent="0.25">
      <c r="O350" s="1"/>
      <c r="P350" s="1"/>
      <c r="Q350"/>
      <c r="R350"/>
    </row>
    <row r="351" spans="15:18" x14ac:dyDescent="0.25">
      <c r="O351" s="1"/>
      <c r="P351" s="1"/>
      <c r="Q351"/>
      <c r="R351"/>
    </row>
    <row r="352" spans="15:18" x14ac:dyDescent="0.25">
      <c r="O352" s="1"/>
      <c r="P352" s="1"/>
      <c r="Q352"/>
      <c r="R352"/>
    </row>
    <row r="353" spans="15:18" x14ac:dyDescent="0.25">
      <c r="O353" s="1"/>
      <c r="P353" s="1"/>
      <c r="Q353"/>
      <c r="R353"/>
    </row>
    <row r="354" spans="15:18" x14ac:dyDescent="0.25">
      <c r="O354" s="1"/>
      <c r="P354" s="1"/>
      <c r="Q354"/>
      <c r="R354"/>
    </row>
    <row r="355" spans="15:18" x14ac:dyDescent="0.25">
      <c r="O355" s="1"/>
      <c r="P355" s="1"/>
      <c r="Q355"/>
      <c r="R355"/>
    </row>
    <row r="356" spans="15:18" x14ac:dyDescent="0.25">
      <c r="O356" s="1"/>
      <c r="P356" s="1"/>
      <c r="Q356"/>
      <c r="R356"/>
    </row>
    <row r="357" spans="15:18" x14ac:dyDescent="0.25">
      <c r="O357" s="1"/>
      <c r="P357" s="1"/>
      <c r="Q357"/>
      <c r="R357"/>
    </row>
    <row r="358" spans="15:18" x14ac:dyDescent="0.25">
      <c r="O358" s="1"/>
      <c r="P358" s="1"/>
      <c r="Q358"/>
      <c r="R358"/>
    </row>
    <row r="359" spans="15:18" x14ac:dyDescent="0.25">
      <c r="O359" s="1"/>
      <c r="P359" s="1"/>
      <c r="Q359"/>
      <c r="R359"/>
    </row>
    <row r="360" spans="15:18" x14ac:dyDescent="0.25">
      <c r="O360" s="1"/>
      <c r="P360" s="1"/>
      <c r="Q360"/>
      <c r="R360"/>
    </row>
    <row r="361" spans="15:18" x14ac:dyDescent="0.25">
      <c r="O361" s="1"/>
      <c r="P361" s="1"/>
      <c r="Q361"/>
      <c r="R361"/>
    </row>
    <row r="362" spans="15:18" x14ac:dyDescent="0.25">
      <c r="O362" s="1"/>
      <c r="P362" s="1"/>
      <c r="Q362"/>
      <c r="R362"/>
    </row>
    <row r="363" spans="15:18" x14ac:dyDescent="0.25">
      <c r="O363" s="1"/>
      <c r="P363" s="1"/>
      <c r="Q363"/>
      <c r="R363"/>
    </row>
    <row r="364" spans="15:18" x14ac:dyDescent="0.25">
      <c r="O364" s="1"/>
      <c r="P364" s="1"/>
      <c r="Q364"/>
      <c r="R364"/>
    </row>
    <row r="365" spans="15:18" x14ac:dyDescent="0.25">
      <c r="O365" s="1"/>
      <c r="P365" s="1"/>
      <c r="Q365"/>
      <c r="R365"/>
    </row>
    <row r="366" spans="15:18" x14ac:dyDescent="0.25">
      <c r="O366" s="1"/>
      <c r="P366" s="1"/>
      <c r="Q366"/>
      <c r="R366"/>
    </row>
    <row r="367" spans="15:18" x14ac:dyDescent="0.25">
      <c r="O367" s="1"/>
      <c r="P367" s="1"/>
      <c r="Q367"/>
      <c r="R367"/>
    </row>
    <row r="368" spans="15:18" x14ac:dyDescent="0.25">
      <c r="O368" s="1"/>
      <c r="P368" s="1"/>
      <c r="Q368"/>
      <c r="R368"/>
    </row>
    <row r="369" spans="15:18" x14ac:dyDescent="0.25">
      <c r="O369" s="1"/>
      <c r="P369" s="1"/>
      <c r="Q369"/>
      <c r="R369"/>
    </row>
    <row r="370" spans="15:18" x14ac:dyDescent="0.25">
      <c r="O370" s="1"/>
      <c r="P370" s="1"/>
      <c r="Q370"/>
      <c r="R370"/>
    </row>
    <row r="371" spans="15:18" x14ac:dyDescent="0.25">
      <c r="O371" s="1"/>
      <c r="P371" s="1"/>
      <c r="Q371"/>
      <c r="R371"/>
    </row>
    <row r="372" spans="15:18" x14ac:dyDescent="0.25">
      <c r="O372" s="1"/>
      <c r="P372" s="1"/>
      <c r="Q372"/>
      <c r="R372"/>
    </row>
    <row r="373" spans="15:18" x14ac:dyDescent="0.25">
      <c r="O373" s="1"/>
      <c r="P373" s="1"/>
      <c r="Q373"/>
      <c r="R373"/>
    </row>
    <row r="374" spans="15:18" x14ac:dyDescent="0.25">
      <c r="O374" s="1"/>
      <c r="P374" s="1"/>
      <c r="Q374"/>
      <c r="R374"/>
    </row>
    <row r="375" spans="15:18" x14ac:dyDescent="0.25">
      <c r="O375" s="1"/>
      <c r="P375" s="1"/>
      <c r="Q375"/>
      <c r="R375"/>
    </row>
    <row r="376" spans="15:18" x14ac:dyDescent="0.25">
      <c r="O376" s="31"/>
      <c r="P376" s="31"/>
      <c r="Q376" s="29"/>
      <c r="R376" s="29"/>
    </row>
  </sheetData>
  <autoFilter ref="A1:R56" xr:uid="{126E89C2-5066-4C3E-9942-33F889B469C5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4F85-DBD7-459D-BCE3-347BE97C06A5}">
  <dimension ref="A1:J59"/>
  <sheetViews>
    <sheetView topLeftCell="F1" workbookViewId="0">
      <selection activeCell="D18" sqref="D18"/>
    </sheetView>
  </sheetViews>
  <sheetFormatPr baseColWidth="10" defaultColWidth="11.42578125" defaultRowHeight="15" x14ac:dyDescent="0.25"/>
  <cols>
    <col min="2" max="2" width="34.5703125" style="1" bestFit="1" customWidth="1"/>
    <col min="3" max="3" width="14.85546875" style="1" customWidth="1"/>
    <col min="4" max="5" width="11.42578125" style="1"/>
    <col min="6" max="9" width="12.85546875" style="1" customWidth="1"/>
    <col min="10" max="10" width="26.42578125" style="1" bestFit="1" customWidth="1"/>
    <col min="11" max="11" width="26.42578125" bestFit="1" customWidth="1"/>
    <col min="12" max="12" width="14.7109375" bestFit="1" customWidth="1"/>
  </cols>
  <sheetData>
    <row r="1" spans="1:10" s="2" customFormat="1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</row>
    <row r="2" spans="1:10" x14ac:dyDescent="0.25">
      <c r="A2" s="6">
        <v>1</v>
      </c>
      <c r="B2" s="9" t="s">
        <v>10</v>
      </c>
      <c r="C2" s="9">
        <v>1140926993</v>
      </c>
      <c r="D2" s="9">
        <v>9</v>
      </c>
      <c r="E2" s="9" t="s">
        <v>11</v>
      </c>
      <c r="F2" s="7" t="s">
        <v>12</v>
      </c>
      <c r="G2" s="7" t="s">
        <v>13</v>
      </c>
      <c r="H2" s="8" t="s">
        <v>14</v>
      </c>
      <c r="I2" s="7" t="s">
        <v>15</v>
      </c>
      <c r="J2" s="7" t="s">
        <v>16</v>
      </c>
    </row>
    <row r="3" spans="1:10" x14ac:dyDescent="0.25">
      <c r="A3" s="6">
        <v>2</v>
      </c>
      <c r="B3" s="9" t="s">
        <v>17</v>
      </c>
      <c r="C3" s="9">
        <v>1025071557</v>
      </c>
      <c r="D3" s="9">
        <v>10</v>
      </c>
      <c r="E3" s="9" t="s">
        <v>11</v>
      </c>
      <c r="F3" s="7" t="s">
        <v>18</v>
      </c>
      <c r="G3" s="7" t="s">
        <v>19</v>
      </c>
      <c r="H3" s="8" t="s">
        <v>20</v>
      </c>
      <c r="I3" s="7" t="s">
        <v>21</v>
      </c>
      <c r="J3" s="7" t="s">
        <v>22</v>
      </c>
    </row>
    <row r="4" spans="1:10" x14ac:dyDescent="0.25">
      <c r="A4" s="6">
        <v>3</v>
      </c>
      <c r="B4" s="9" t="s">
        <v>23</v>
      </c>
      <c r="C4" s="9">
        <v>1019986884</v>
      </c>
      <c r="D4" s="9">
        <v>12</v>
      </c>
      <c r="E4" s="9" t="s">
        <v>11</v>
      </c>
      <c r="F4" s="7" t="s">
        <v>24</v>
      </c>
      <c r="G4" s="7" t="s">
        <v>25</v>
      </c>
      <c r="H4" s="8" t="s">
        <v>26</v>
      </c>
      <c r="I4" s="7" t="s">
        <v>27</v>
      </c>
      <c r="J4" s="7">
        <v>7</v>
      </c>
    </row>
    <row r="5" spans="1:10" x14ac:dyDescent="0.25">
      <c r="A5" s="6">
        <v>4</v>
      </c>
      <c r="B5" s="9" t="s">
        <v>28</v>
      </c>
      <c r="C5" s="9">
        <v>1023369404</v>
      </c>
      <c r="D5" s="9">
        <v>12</v>
      </c>
      <c r="E5" s="9" t="s">
        <v>11</v>
      </c>
      <c r="F5" s="7" t="s">
        <v>29</v>
      </c>
      <c r="G5" s="7" t="s">
        <v>30</v>
      </c>
      <c r="H5" s="8" t="s">
        <v>31</v>
      </c>
      <c r="I5" s="7" t="s">
        <v>32</v>
      </c>
      <c r="J5" s="7" t="s">
        <v>33</v>
      </c>
    </row>
    <row r="6" spans="1:10" x14ac:dyDescent="0.25">
      <c r="A6" s="6">
        <v>5</v>
      </c>
      <c r="B6" s="9" t="s">
        <v>34</v>
      </c>
      <c r="C6" s="9">
        <v>1028683488</v>
      </c>
      <c r="D6" s="9">
        <v>9</v>
      </c>
      <c r="E6" s="9" t="s">
        <v>11</v>
      </c>
      <c r="F6" s="7" t="s">
        <v>29</v>
      </c>
      <c r="G6" s="7" t="s">
        <v>12</v>
      </c>
      <c r="H6" s="8" t="s">
        <v>20</v>
      </c>
      <c r="I6" s="7" t="s">
        <v>35</v>
      </c>
      <c r="J6" s="7" t="s">
        <v>36</v>
      </c>
    </row>
    <row r="7" spans="1:10" x14ac:dyDescent="0.25">
      <c r="A7" s="6">
        <v>6</v>
      </c>
      <c r="B7" s="9" t="s">
        <v>37</v>
      </c>
      <c r="C7" s="9">
        <v>1011236422</v>
      </c>
      <c r="D7" s="9">
        <v>8</v>
      </c>
      <c r="E7" s="9" t="s">
        <v>11</v>
      </c>
      <c r="F7" s="7" t="s">
        <v>30</v>
      </c>
      <c r="G7" s="7" t="s">
        <v>12</v>
      </c>
      <c r="H7" s="8" t="s">
        <v>31</v>
      </c>
      <c r="I7" s="7" t="s">
        <v>38</v>
      </c>
      <c r="J7" s="7" t="s">
        <v>39</v>
      </c>
    </row>
    <row r="8" spans="1:10" x14ac:dyDescent="0.25">
      <c r="A8" s="6">
        <v>7</v>
      </c>
      <c r="B8" s="9" t="s">
        <v>40</v>
      </c>
      <c r="C8" s="9">
        <v>1025327137</v>
      </c>
      <c r="D8" s="9">
        <v>11</v>
      </c>
      <c r="E8" s="9" t="s">
        <v>11</v>
      </c>
      <c r="F8" s="7" t="s">
        <v>29</v>
      </c>
      <c r="G8" s="7" t="s">
        <v>12</v>
      </c>
      <c r="H8" s="8" t="s">
        <v>20</v>
      </c>
      <c r="I8" s="7" t="s">
        <v>41</v>
      </c>
      <c r="J8" s="7" t="s">
        <v>42</v>
      </c>
    </row>
    <row r="9" spans="1:10" x14ac:dyDescent="0.25">
      <c r="A9" s="6">
        <v>8</v>
      </c>
      <c r="B9" s="9" t="s">
        <v>43</v>
      </c>
      <c r="C9" s="9">
        <v>1023948634</v>
      </c>
      <c r="D9" s="9">
        <v>9</v>
      </c>
      <c r="E9" s="9" t="s">
        <v>11</v>
      </c>
      <c r="F9" s="7" t="s">
        <v>44</v>
      </c>
      <c r="G9" s="7" t="s">
        <v>45</v>
      </c>
      <c r="H9" s="8" t="s">
        <v>16</v>
      </c>
      <c r="I9" s="7" t="s">
        <v>41</v>
      </c>
      <c r="J9" s="7" t="s">
        <v>46</v>
      </c>
    </row>
    <row r="10" spans="1:10" x14ac:dyDescent="0.25">
      <c r="A10" s="6">
        <v>9</v>
      </c>
      <c r="B10" s="9" t="s">
        <v>47</v>
      </c>
      <c r="C10" s="9">
        <v>1016733456</v>
      </c>
      <c r="D10" s="9">
        <v>9</v>
      </c>
      <c r="E10" s="9" t="s">
        <v>11</v>
      </c>
      <c r="F10" s="7" t="s">
        <v>48</v>
      </c>
      <c r="G10" s="7" t="s">
        <v>30</v>
      </c>
      <c r="H10" s="8" t="s">
        <v>16</v>
      </c>
      <c r="I10" s="7" t="s">
        <v>41</v>
      </c>
      <c r="J10" s="7" t="s">
        <v>36</v>
      </c>
    </row>
    <row r="11" spans="1:10" x14ac:dyDescent="0.25">
      <c r="A11" s="6">
        <v>10</v>
      </c>
      <c r="B11" s="9" t="s">
        <v>49</v>
      </c>
      <c r="C11" s="9">
        <v>1010209452</v>
      </c>
      <c r="D11" s="9">
        <v>12</v>
      </c>
      <c r="E11" s="9" t="s">
        <v>50</v>
      </c>
      <c r="F11" s="7" t="s">
        <v>19</v>
      </c>
      <c r="G11" s="7" t="s">
        <v>51</v>
      </c>
      <c r="H11" s="8" t="s">
        <v>16</v>
      </c>
      <c r="I11" s="7" t="s">
        <v>41</v>
      </c>
      <c r="J11" s="7" t="s">
        <v>52</v>
      </c>
    </row>
    <row r="12" spans="1:10" x14ac:dyDescent="0.25">
      <c r="A12" s="6">
        <v>11</v>
      </c>
      <c r="B12" s="9" t="s">
        <v>53</v>
      </c>
      <c r="C12" s="9">
        <v>1030668204</v>
      </c>
      <c r="D12" s="9">
        <v>6</v>
      </c>
      <c r="E12" s="9" t="s">
        <v>50</v>
      </c>
      <c r="F12" s="7" t="s">
        <v>30</v>
      </c>
      <c r="G12" s="7" t="s">
        <v>19</v>
      </c>
      <c r="H12" s="8" t="s">
        <v>54</v>
      </c>
      <c r="I12" s="7" t="s">
        <v>55</v>
      </c>
      <c r="J12" s="7" t="s">
        <v>16</v>
      </c>
    </row>
    <row r="13" spans="1:10" x14ac:dyDescent="0.25">
      <c r="A13" s="6">
        <v>12</v>
      </c>
      <c r="B13" s="9" t="s">
        <v>56</v>
      </c>
      <c r="C13" s="9">
        <v>1019604529</v>
      </c>
      <c r="D13" s="9">
        <v>12</v>
      </c>
      <c r="E13" s="9" t="s">
        <v>11</v>
      </c>
      <c r="F13" s="7" t="s">
        <v>29</v>
      </c>
      <c r="G13" s="7" t="s">
        <v>12</v>
      </c>
      <c r="H13" s="8" t="s">
        <v>20</v>
      </c>
      <c r="I13" s="7" t="s">
        <v>57</v>
      </c>
      <c r="J13" s="7" t="s">
        <v>39</v>
      </c>
    </row>
    <row r="14" spans="1:10" x14ac:dyDescent="0.25">
      <c r="A14" s="6">
        <v>13</v>
      </c>
      <c r="B14" s="9" t="s">
        <v>58</v>
      </c>
      <c r="C14" s="9">
        <v>1023959879</v>
      </c>
      <c r="D14" s="9">
        <v>7</v>
      </c>
      <c r="E14" s="9" t="s">
        <v>50</v>
      </c>
      <c r="F14" s="7" t="s">
        <v>59</v>
      </c>
      <c r="G14" s="7" t="s">
        <v>48</v>
      </c>
      <c r="H14" s="8" t="s">
        <v>60</v>
      </c>
      <c r="I14" s="7" t="s">
        <v>41</v>
      </c>
      <c r="J14" s="7" t="s">
        <v>22</v>
      </c>
    </row>
    <row r="15" spans="1:10" x14ac:dyDescent="0.25">
      <c r="A15" s="6">
        <v>14</v>
      </c>
      <c r="B15" s="9" t="s">
        <v>61</v>
      </c>
      <c r="C15" s="9">
        <v>1023381606</v>
      </c>
      <c r="D15" s="9">
        <v>12</v>
      </c>
      <c r="E15" s="9" t="s">
        <v>11</v>
      </c>
      <c r="F15" s="8" t="s">
        <v>44</v>
      </c>
      <c r="G15" s="8" t="s">
        <v>29</v>
      </c>
      <c r="H15" s="8" t="s">
        <v>33</v>
      </c>
      <c r="I15" s="8" t="s">
        <v>21</v>
      </c>
      <c r="J15" s="8" t="s">
        <v>46</v>
      </c>
    </row>
    <row r="16" spans="1:10" x14ac:dyDescent="0.25">
      <c r="A16" s="6">
        <v>15</v>
      </c>
      <c r="B16" s="9" t="s">
        <v>62</v>
      </c>
      <c r="C16" s="9">
        <v>1021675756</v>
      </c>
      <c r="D16" s="9">
        <v>12</v>
      </c>
      <c r="E16" s="9" t="s">
        <v>11</v>
      </c>
      <c r="F16" s="8" t="s">
        <v>63</v>
      </c>
      <c r="G16" s="8" t="s">
        <v>64</v>
      </c>
      <c r="H16" s="8" t="s">
        <v>31</v>
      </c>
      <c r="I16" s="8" t="s">
        <v>65</v>
      </c>
      <c r="J16" s="8" t="s">
        <v>33</v>
      </c>
    </row>
    <row r="17" spans="1:10" x14ac:dyDescent="0.25">
      <c r="A17" s="6">
        <v>16</v>
      </c>
      <c r="B17" s="9" t="s">
        <v>66</v>
      </c>
      <c r="C17" s="9"/>
      <c r="D17" s="9">
        <v>8</v>
      </c>
      <c r="E17" s="9" t="s">
        <v>11</v>
      </c>
      <c r="F17" s="8" t="s">
        <v>18</v>
      </c>
      <c r="G17" s="8" t="s">
        <v>59</v>
      </c>
      <c r="H17" s="8" t="s">
        <v>16</v>
      </c>
      <c r="I17" s="8" t="s">
        <v>67</v>
      </c>
      <c r="J17" s="8" t="s">
        <v>46</v>
      </c>
    </row>
    <row r="18" spans="1:10" x14ac:dyDescent="0.25">
      <c r="A18" s="6">
        <v>17</v>
      </c>
      <c r="B18" s="9" t="s">
        <v>68</v>
      </c>
      <c r="C18" s="9">
        <v>1031172773</v>
      </c>
      <c r="D18" s="9">
        <v>6</v>
      </c>
      <c r="E18" s="9" t="s">
        <v>69</v>
      </c>
      <c r="F18" s="7" t="s">
        <v>19</v>
      </c>
      <c r="G18" s="7" t="s">
        <v>70</v>
      </c>
      <c r="H18" s="8" t="s">
        <v>31</v>
      </c>
      <c r="I18" s="7" t="s">
        <v>41</v>
      </c>
      <c r="J18" s="7" t="s">
        <v>71</v>
      </c>
    </row>
    <row r="19" spans="1:10" x14ac:dyDescent="0.25">
      <c r="A19" s="6">
        <v>18</v>
      </c>
      <c r="B19" s="9" t="s">
        <v>72</v>
      </c>
      <c r="C19" s="9">
        <v>1188216704</v>
      </c>
      <c r="D19" s="9">
        <v>7</v>
      </c>
      <c r="E19" s="9" t="s">
        <v>50</v>
      </c>
      <c r="F19" s="7" t="s">
        <v>29</v>
      </c>
      <c r="G19" s="1" t="s">
        <v>59</v>
      </c>
      <c r="H19" s="8" t="s">
        <v>14</v>
      </c>
      <c r="I19" s="7" t="s">
        <v>67</v>
      </c>
      <c r="J19" s="7" t="s">
        <v>22</v>
      </c>
    </row>
    <row r="20" spans="1:10" x14ac:dyDescent="0.25">
      <c r="A20" s="6">
        <v>19</v>
      </c>
      <c r="B20" s="9" t="s">
        <v>73</v>
      </c>
      <c r="C20" s="9">
        <v>1034277995</v>
      </c>
      <c r="D20" s="9">
        <v>14</v>
      </c>
      <c r="E20" s="9" t="s">
        <v>11</v>
      </c>
      <c r="F20" s="7" t="s">
        <v>29</v>
      </c>
      <c r="G20" s="7" t="s">
        <v>45</v>
      </c>
      <c r="H20" s="8" t="s">
        <v>26</v>
      </c>
      <c r="I20" s="7" t="s">
        <v>21</v>
      </c>
      <c r="J20" s="7" t="s">
        <v>46</v>
      </c>
    </row>
    <row r="21" spans="1:10" x14ac:dyDescent="0.25">
      <c r="A21" s="6">
        <v>20</v>
      </c>
      <c r="B21" s="9" t="s">
        <v>74</v>
      </c>
      <c r="C21" s="9">
        <v>1049620285</v>
      </c>
      <c r="D21" s="9">
        <v>10</v>
      </c>
      <c r="E21" s="9" t="s">
        <v>11</v>
      </c>
      <c r="F21" s="7" t="s">
        <v>45</v>
      </c>
      <c r="G21" s="7" t="s">
        <v>51</v>
      </c>
      <c r="H21" s="8" t="s">
        <v>31</v>
      </c>
      <c r="I21" s="7" t="s">
        <v>35</v>
      </c>
      <c r="J21" s="7" t="s">
        <v>36</v>
      </c>
    </row>
    <row r="22" spans="1:10" x14ac:dyDescent="0.25">
      <c r="A22" s="6">
        <v>21</v>
      </c>
      <c r="B22" s="9" t="s">
        <v>75</v>
      </c>
      <c r="C22" s="9">
        <v>1013606908</v>
      </c>
      <c r="D22" s="9">
        <v>13</v>
      </c>
      <c r="E22" s="9" t="s">
        <v>11</v>
      </c>
      <c r="F22" s="7" t="s">
        <v>51</v>
      </c>
      <c r="G22" s="7" t="s">
        <v>76</v>
      </c>
      <c r="H22" s="8" t="s">
        <v>60</v>
      </c>
      <c r="I22" s="7" t="s">
        <v>77</v>
      </c>
      <c r="J22" s="7" t="s">
        <v>52</v>
      </c>
    </row>
    <row r="23" spans="1:10" x14ac:dyDescent="0.25">
      <c r="A23" s="6">
        <v>22</v>
      </c>
      <c r="B23" s="9" t="s">
        <v>78</v>
      </c>
      <c r="C23" s="9">
        <v>1028862241</v>
      </c>
      <c r="D23" s="9">
        <v>11</v>
      </c>
      <c r="E23" s="9" t="s">
        <v>11</v>
      </c>
      <c r="F23" s="7" t="s">
        <v>19</v>
      </c>
      <c r="G23" s="7" t="s">
        <v>12</v>
      </c>
      <c r="H23" s="8" t="s">
        <v>22</v>
      </c>
      <c r="I23" s="7" t="s">
        <v>27</v>
      </c>
      <c r="J23" s="7" t="s">
        <v>79</v>
      </c>
    </row>
    <row r="24" spans="1:10" x14ac:dyDescent="0.25">
      <c r="A24" s="6">
        <v>23</v>
      </c>
      <c r="B24" s="9" t="s">
        <v>80</v>
      </c>
      <c r="C24" s="9">
        <v>1141332591</v>
      </c>
      <c r="D24" s="9">
        <v>11</v>
      </c>
      <c r="E24" s="9" t="s">
        <v>11</v>
      </c>
      <c r="F24" s="7" t="s">
        <v>44</v>
      </c>
      <c r="G24" s="7" t="s">
        <v>29</v>
      </c>
      <c r="H24" s="8" t="s">
        <v>33</v>
      </c>
      <c r="I24" s="7" t="s">
        <v>21</v>
      </c>
      <c r="J24" s="7">
        <v>12</v>
      </c>
    </row>
    <row r="25" spans="1:10" x14ac:dyDescent="0.25">
      <c r="A25" s="6">
        <v>24</v>
      </c>
      <c r="B25" s="9" t="s">
        <v>81</v>
      </c>
      <c r="C25" s="9">
        <v>1141342937</v>
      </c>
      <c r="D25" s="9">
        <v>8</v>
      </c>
      <c r="E25" s="9" t="s">
        <v>50</v>
      </c>
      <c r="F25" s="7" t="s">
        <v>82</v>
      </c>
      <c r="G25" s="7" t="s">
        <v>83</v>
      </c>
      <c r="H25" s="8" t="s">
        <v>14</v>
      </c>
      <c r="I25" s="7" t="s">
        <v>38</v>
      </c>
      <c r="J25" s="7" t="s">
        <v>42</v>
      </c>
    </row>
    <row r="26" spans="1:10" x14ac:dyDescent="0.25">
      <c r="A26" s="6">
        <v>25</v>
      </c>
      <c r="B26" s="9" t="s">
        <v>53</v>
      </c>
      <c r="C26" s="9">
        <v>1030668204</v>
      </c>
      <c r="D26" s="9">
        <v>6</v>
      </c>
      <c r="E26" s="9" t="s">
        <v>50</v>
      </c>
      <c r="F26" s="7" t="s">
        <v>84</v>
      </c>
      <c r="G26" s="7" t="s">
        <v>51</v>
      </c>
      <c r="H26" s="8" t="s">
        <v>31</v>
      </c>
      <c r="I26" s="7" t="s">
        <v>85</v>
      </c>
      <c r="J26" s="7" t="s">
        <v>39</v>
      </c>
    </row>
    <row r="27" spans="1:10" x14ac:dyDescent="0.25">
      <c r="A27" s="6">
        <v>26</v>
      </c>
      <c r="B27" s="9" t="s">
        <v>86</v>
      </c>
      <c r="C27" s="9">
        <v>1021684117</v>
      </c>
      <c r="D27" s="9">
        <v>11</v>
      </c>
      <c r="E27" s="9" t="s">
        <v>11</v>
      </c>
      <c r="F27" s="7" t="s">
        <v>48</v>
      </c>
      <c r="G27" s="7" t="s">
        <v>70</v>
      </c>
      <c r="H27" s="8" t="s">
        <v>16</v>
      </c>
      <c r="I27" s="7" t="s">
        <v>67</v>
      </c>
      <c r="J27" s="7" t="s">
        <v>36</v>
      </c>
    </row>
    <row r="28" spans="1:10" x14ac:dyDescent="0.25">
      <c r="A28" s="6">
        <v>27</v>
      </c>
      <c r="B28" s="9" t="s">
        <v>87</v>
      </c>
      <c r="C28" s="9">
        <v>1092736045</v>
      </c>
      <c r="D28" s="9">
        <v>12</v>
      </c>
      <c r="E28" s="9" t="s">
        <v>11</v>
      </c>
      <c r="F28" s="7" t="s">
        <v>30</v>
      </c>
      <c r="G28" s="7" t="s">
        <v>45</v>
      </c>
      <c r="H28" s="8" t="s">
        <v>14</v>
      </c>
      <c r="I28" s="7" t="s">
        <v>15</v>
      </c>
      <c r="J28" s="7" t="s">
        <v>52</v>
      </c>
    </row>
    <row r="29" spans="1:10" x14ac:dyDescent="0.25">
      <c r="A29" s="6">
        <v>28</v>
      </c>
      <c r="B29" s="9" t="s">
        <v>88</v>
      </c>
      <c r="C29" s="9">
        <v>1024540177</v>
      </c>
      <c r="D29" s="9">
        <v>11</v>
      </c>
      <c r="E29" s="9" t="s">
        <v>50</v>
      </c>
      <c r="F29" s="7" t="s">
        <v>89</v>
      </c>
      <c r="G29" s="7" t="s">
        <v>45</v>
      </c>
      <c r="H29" s="8" t="s">
        <v>20</v>
      </c>
      <c r="I29" s="7" t="s">
        <v>32</v>
      </c>
      <c r="J29" s="7" t="s">
        <v>22</v>
      </c>
    </row>
    <row r="30" spans="1:10" x14ac:dyDescent="0.25">
      <c r="A30" s="6">
        <v>29</v>
      </c>
      <c r="B30" s="9" t="s">
        <v>90</v>
      </c>
      <c r="C30" s="9">
        <v>1013655563</v>
      </c>
      <c r="D30" s="9">
        <v>10</v>
      </c>
      <c r="E30" s="9" t="s">
        <v>50</v>
      </c>
      <c r="F30" s="7" t="s">
        <v>19</v>
      </c>
      <c r="G30" s="7" t="s">
        <v>51</v>
      </c>
      <c r="H30" s="8" t="s">
        <v>16</v>
      </c>
      <c r="I30" s="7" t="s">
        <v>91</v>
      </c>
      <c r="J30" s="7" t="s">
        <v>20</v>
      </c>
    </row>
    <row r="31" spans="1:10" x14ac:dyDescent="0.25">
      <c r="A31" s="6">
        <v>30</v>
      </c>
      <c r="B31" s="9" t="s">
        <v>92</v>
      </c>
      <c r="C31" s="9">
        <v>1034297426</v>
      </c>
      <c r="D31" s="9">
        <v>13</v>
      </c>
      <c r="E31" s="9" t="s">
        <v>11</v>
      </c>
      <c r="F31" s="7" t="s">
        <v>63</v>
      </c>
      <c r="G31" s="7" t="s">
        <v>59</v>
      </c>
      <c r="H31" s="8" t="s">
        <v>22</v>
      </c>
      <c r="I31" s="7" t="s">
        <v>41</v>
      </c>
      <c r="J31" s="7" t="s">
        <v>16</v>
      </c>
    </row>
    <row r="32" spans="1:10" x14ac:dyDescent="0.25">
      <c r="A32" s="6">
        <v>31</v>
      </c>
      <c r="B32" s="9" t="s">
        <v>93</v>
      </c>
      <c r="C32" s="9">
        <v>1034304138</v>
      </c>
      <c r="D32" s="9">
        <v>9</v>
      </c>
      <c r="E32" s="9" t="s">
        <v>50</v>
      </c>
      <c r="F32" s="7" t="s">
        <v>70</v>
      </c>
      <c r="G32" s="7" t="s">
        <v>76</v>
      </c>
      <c r="H32" s="8" t="s">
        <v>31</v>
      </c>
      <c r="I32" s="7" t="s">
        <v>32</v>
      </c>
      <c r="J32" s="7" t="s">
        <v>46</v>
      </c>
    </row>
    <row r="33" spans="1:10" x14ac:dyDescent="0.25">
      <c r="A33" s="6">
        <v>32</v>
      </c>
      <c r="B33" s="9" t="s">
        <v>94</v>
      </c>
      <c r="C33" s="9">
        <v>1033118854</v>
      </c>
      <c r="D33" s="9">
        <v>6</v>
      </c>
      <c r="E33" s="9" t="s">
        <v>50</v>
      </c>
      <c r="F33" s="7" t="s">
        <v>29</v>
      </c>
      <c r="G33" s="7" t="s">
        <v>76</v>
      </c>
      <c r="H33" s="8" t="s">
        <v>16</v>
      </c>
      <c r="I33" s="7" t="s">
        <v>95</v>
      </c>
      <c r="J33" s="7" t="s">
        <v>39</v>
      </c>
    </row>
    <row r="34" spans="1:10" x14ac:dyDescent="0.25">
      <c r="A34" s="6">
        <v>33</v>
      </c>
      <c r="B34" s="9" t="s">
        <v>96</v>
      </c>
      <c r="C34" s="9">
        <v>1032680320</v>
      </c>
      <c r="D34" s="9">
        <v>14</v>
      </c>
      <c r="E34" s="9" t="s">
        <v>11</v>
      </c>
      <c r="F34" s="7" t="s">
        <v>44</v>
      </c>
      <c r="G34" s="7" t="s">
        <v>59</v>
      </c>
      <c r="H34" s="8" t="s">
        <v>14</v>
      </c>
      <c r="I34" s="7" t="s">
        <v>32</v>
      </c>
      <c r="J34" s="7" t="s">
        <v>36</v>
      </c>
    </row>
    <row r="35" spans="1:10" x14ac:dyDescent="0.25">
      <c r="A35" s="6">
        <v>34</v>
      </c>
      <c r="B35" s="9" t="s">
        <v>97</v>
      </c>
      <c r="C35" s="9">
        <v>1028787375</v>
      </c>
      <c r="D35" s="9">
        <v>13</v>
      </c>
      <c r="E35" s="9" t="s">
        <v>11</v>
      </c>
      <c r="F35" s="7" t="s">
        <v>70</v>
      </c>
      <c r="G35" s="7" t="s">
        <v>13</v>
      </c>
      <c r="H35" s="8" t="s">
        <v>20</v>
      </c>
      <c r="I35" s="7" t="s">
        <v>91</v>
      </c>
      <c r="J35" s="7" t="s">
        <v>20</v>
      </c>
    </row>
    <row r="36" spans="1:10" x14ac:dyDescent="0.25">
      <c r="A36" s="6">
        <v>35</v>
      </c>
      <c r="B36" s="9" t="s">
        <v>98</v>
      </c>
      <c r="C36" s="9">
        <v>1030643798</v>
      </c>
      <c r="D36" s="9">
        <v>9</v>
      </c>
      <c r="E36" s="9" t="s">
        <v>11</v>
      </c>
      <c r="F36" s="7" t="s">
        <v>19</v>
      </c>
      <c r="G36" s="7" t="s">
        <v>51</v>
      </c>
      <c r="H36" s="8" t="s">
        <v>16</v>
      </c>
      <c r="I36" s="7" t="s">
        <v>32</v>
      </c>
      <c r="J36" s="7" t="s">
        <v>22</v>
      </c>
    </row>
    <row r="37" spans="1:10" x14ac:dyDescent="0.25">
      <c r="A37" s="6">
        <v>36</v>
      </c>
      <c r="B37" s="9" t="s">
        <v>99</v>
      </c>
      <c r="C37" s="9">
        <v>1016728400</v>
      </c>
      <c r="D37" s="9">
        <v>11</v>
      </c>
      <c r="E37" s="9" t="s">
        <v>50</v>
      </c>
      <c r="F37" s="7" t="s">
        <v>48</v>
      </c>
      <c r="G37" s="7" t="s">
        <v>45</v>
      </c>
      <c r="H37" s="8" t="s">
        <v>33</v>
      </c>
      <c r="I37" s="7" t="s">
        <v>67</v>
      </c>
      <c r="J37" s="7" t="s">
        <v>52</v>
      </c>
    </row>
    <row r="38" spans="1:10" x14ac:dyDescent="0.25">
      <c r="A38" s="6">
        <v>37</v>
      </c>
      <c r="B38" s="9" t="s">
        <v>100</v>
      </c>
      <c r="C38" s="9">
        <v>1023899613</v>
      </c>
      <c r="D38" s="9">
        <v>14</v>
      </c>
      <c r="E38" s="9" t="s">
        <v>11</v>
      </c>
      <c r="F38" s="7" t="s">
        <v>18</v>
      </c>
      <c r="G38" s="7" t="s">
        <v>64</v>
      </c>
      <c r="H38" s="8" t="s">
        <v>26</v>
      </c>
      <c r="I38" s="7" t="s">
        <v>35</v>
      </c>
      <c r="J38" s="7" t="s">
        <v>20</v>
      </c>
    </row>
    <row r="39" spans="1:10" x14ac:dyDescent="0.25">
      <c r="A39" s="6">
        <v>38</v>
      </c>
      <c r="B39" s="9" t="s">
        <v>101</v>
      </c>
      <c r="C39" s="9">
        <v>1033731933</v>
      </c>
      <c r="D39" s="9">
        <v>13</v>
      </c>
      <c r="E39" s="9" t="s">
        <v>11</v>
      </c>
      <c r="F39" s="7" t="s">
        <v>70</v>
      </c>
      <c r="G39" s="7" t="s">
        <v>12</v>
      </c>
      <c r="H39" s="8" t="s">
        <v>33</v>
      </c>
      <c r="I39" s="7" t="s">
        <v>102</v>
      </c>
      <c r="J39" s="7" t="s">
        <v>103</v>
      </c>
    </row>
    <row r="40" spans="1:10" x14ac:dyDescent="0.25">
      <c r="A40" s="6">
        <v>39</v>
      </c>
      <c r="B40" s="9" t="s">
        <v>104</v>
      </c>
      <c r="C40" s="9">
        <v>1012921933</v>
      </c>
      <c r="D40" s="9">
        <v>10</v>
      </c>
      <c r="E40" s="9" t="s">
        <v>11</v>
      </c>
      <c r="F40" s="7" t="s">
        <v>48</v>
      </c>
      <c r="G40" s="7" t="s">
        <v>19</v>
      </c>
      <c r="H40" s="8" t="s">
        <v>14</v>
      </c>
      <c r="I40" s="7" t="s">
        <v>91</v>
      </c>
      <c r="J40" s="7" t="s">
        <v>22</v>
      </c>
    </row>
    <row r="41" spans="1:10" x14ac:dyDescent="0.25">
      <c r="A41" s="6">
        <v>40</v>
      </c>
      <c r="B41" s="9" t="s">
        <v>105</v>
      </c>
      <c r="C41" s="9">
        <v>1013127220</v>
      </c>
      <c r="D41" s="9">
        <v>12</v>
      </c>
      <c r="E41" s="9" t="s">
        <v>11</v>
      </c>
      <c r="F41" s="7" t="s">
        <v>83</v>
      </c>
      <c r="G41" s="7" t="s">
        <v>64</v>
      </c>
      <c r="H41" s="8" t="s">
        <v>14</v>
      </c>
      <c r="I41" s="7" t="s">
        <v>67</v>
      </c>
      <c r="J41" s="7" t="s">
        <v>20</v>
      </c>
    </row>
    <row r="42" spans="1:10" x14ac:dyDescent="0.25">
      <c r="A42" s="6">
        <v>41</v>
      </c>
      <c r="B42" s="9" t="s">
        <v>106</v>
      </c>
      <c r="C42" s="9">
        <v>1028789428</v>
      </c>
      <c r="D42" s="9">
        <v>9</v>
      </c>
      <c r="E42" s="9" t="s">
        <v>11</v>
      </c>
      <c r="F42" s="7" t="s">
        <v>44</v>
      </c>
      <c r="G42" s="7" t="s">
        <v>29</v>
      </c>
      <c r="H42" s="8" t="s">
        <v>33</v>
      </c>
      <c r="I42" s="7" t="s">
        <v>107</v>
      </c>
      <c r="J42" s="7" t="s">
        <v>42</v>
      </c>
    </row>
    <row r="43" spans="1:10" x14ac:dyDescent="0.25">
      <c r="A43" s="6">
        <v>42</v>
      </c>
      <c r="B43" s="9" t="s">
        <v>108</v>
      </c>
      <c r="C43" s="9">
        <v>1140922601</v>
      </c>
      <c r="D43" s="9">
        <v>13</v>
      </c>
      <c r="E43" s="9" t="s">
        <v>69</v>
      </c>
      <c r="F43" s="7" t="s">
        <v>51</v>
      </c>
      <c r="G43" s="7" t="s">
        <v>76</v>
      </c>
      <c r="H43" s="8" t="s">
        <v>26</v>
      </c>
      <c r="I43" s="7" t="s">
        <v>15</v>
      </c>
      <c r="J43" s="7" t="s">
        <v>22</v>
      </c>
    </row>
    <row r="44" spans="1:10" x14ac:dyDescent="0.25">
      <c r="A44" s="6">
        <v>43</v>
      </c>
      <c r="B44" s="9" t="s">
        <v>109</v>
      </c>
      <c r="C44" s="9">
        <v>1023951613</v>
      </c>
      <c r="D44" s="9">
        <v>9</v>
      </c>
      <c r="E44" s="9" t="s">
        <v>50</v>
      </c>
      <c r="F44" s="7" t="s">
        <v>29</v>
      </c>
      <c r="G44" s="7" t="s">
        <v>51</v>
      </c>
      <c r="H44" s="8" t="s">
        <v>33</v>
      </c>
      <c r="I44" s="7" t="s">
        <v>35</v>
      </c>
      <c r="J44" s="7" t="s">
        <v>36</v>
      </c>
    </row>
    <row r="45" spans="1:10" x14ac:dyDescent="0.25">
      <c r="A45" s="6">
        <v>44</v>
      </c>
      <c r="B45" s="9" t="s">
        <v>110</v>
      </c>
      <c r="C45" s="9">
        <v>1025546266</v>
      </c>
      <c r="D45" s="9">
        <v>12</v>
      </c>
      <c r="E45" s="9" t="s">
        <v>69</v>
      </c>
      <c r="F45" s="7" t="s">
        <v>48</v>
      </c>
      <c r="G45" s="7" t="s">
        <v>70</v>
      </c>
      <c r="H45" s="8" t="s">
        <v>16</v>
      </c>
      <c r="I45" s="7" t="s">
        <v>15</v>
      </c>
      <c r="J45" s="7" t="s">
        <v>42</v>
      </c>
    </row>
    <row r="46" spans="1:10" x14ac:dyDescent="0.25">
      <c r="A46" s="6">
        <v>45</v>
      </c>
      <c r="B46" s="9" t="s">
        <v>111</v>
      </c>
      <c r="C46" s="9">
        <v>1028498679</v>
      </c>
      <c r="D46" s="9">
        <v>9</v>
      </c>
      <c r="E46" s="9" t="s">
        <v>69</v>
      </c>
      <c r="F46" s="7" t="s">
        <v>112</v>
      </c>
      <c r="G46" s="7" t="s">
        <v>113</v>
      </c>
      <c r="H46" s="8" t="s">
        <v>31</v>
      </c>
      <c r="I46" s="7" t="s">
        <v>114</v>
      </c>
      <c r="J46" s="7" t="s">
        <v>52</v>
      </c>
    </row>
    <row r="47" spans="1:10" x14ac:dyDescent="0.25">
      <c r="A47" s="6">
        <v>46</v>
      </c>
      <c r="B47" s="9" t="s">
        <v>115</v>
      </c>
      <c r="C47" s="9">
        <v>1032799712</v>
      </c>
      <c r="D47" s="9">
        <v>13</v>
      </c>
      <c r="E47" s="9" t="s">
        <v>69</v>
      </c>
      <c r="F47" s="7" t="s">
        <v>89</v>
      </c>
      <c r="G47" s="7" t="s">
        <v>19</v>
      </c>
      <c r="H47" s="8" t="s">
        <v>33</v>
      </c>
      <c r="I47" s="7" t="s">
        <v>55</v>
      </c>
      <c r="J47" s="7" t="s">
        <v>116</v>
      </c>
    </row>
    <row r="48" spans="1:10" x14ac:dyDescent="0.25">
      <c r="A48" s="6">
        <v>47</v>
      </c>
      <c r="B48" s="9" t="s">
        <v>117</v>
      </c>
      <c r="C48" s="9">
        <v>1019766976</v>
      </c>
      <c r="D48" s="9">
        <v>9</v>
      </c>
      <c r="E48" s="9" t="s">
        <v>50</v>
      </c>
      <c r="F48" s="7" t="s">
        <v>76</v>
      </c>
      <c r="G48" s="7" t="s">
        <v>84</v>
      </c>
      <c r="H48" s="8" t="s">
        <v>14</v>
      </c>
      <c r="I48" s="7" t="s">
        <v>38</v>
      </c>
      <c r="J48" s="7" t="s">
        <v>116</v>
      </c>
    </row>
    <row r="49" spans="1:10" x14ac:dyDescent="0.25">
      <c r="A49" s="6">
        <v>48</v>
      </c>
      <c r="B49" s="9" t="s">
        <v>118</v>
      </c>
      <c r="C49" s="9">
        <v>1027402287</v>
      </c>
      <c r="D49" s="9">
        <v>14</v>
      </c>
      <c r="E49" s="9" t="s">
        <v>50</v>
      </c>
      <c r="F49" s="7" t="s">
        <v>45</v>
      </c>
      <c r="G49" s="7" t="s">
        <v>51</v>
      </c>
      <c r="H49" s="8" t="s">
        <v>31</v>
      </c>
      <c r="I49" s="7" t="s">
        <v>65</v>
      </c>
      <c r="J49" s="7" t="s">
        <v>52</v>
      </c>
    </row>
    <row r="50" spans="1:10" x14ac:dyDescent="0.25">
      <c r="A50" s="6">
        <v>49</v>
      </c>
      <c r="B50" s="9" t="s">
        <v>119</v>
      </c>
      <c r="C50" s="9">
        <v>1028786179</v>
      </c>
      <c r="D50" s="9">
        <v>14</v>
      </c>
      <c r="E50" s="9" t="s">
        <v>11</v>
      </c>
      <c r="F50" s="7" t="s">
        <v>70</v>
      </c>
      <c r="G50" s="7" t="s">
        <v>59</v>
      </c>
      <c r="H50" s="8" t="s">
        <v>120</v>
      </c>
      <c r="I50" s="7" t="s">
        <v>65</v>
      </c>
      <c r="J50" s="7" t="s">
        <v>42</v>
      </c>
    </row>
    <row r="51" spans="1:10" x14ac:dyDescent="0.25">
      <c r="A51" s="11">
        <v>50</v>
      </c>
      <c r="B51" s="12" t="s">
        <v>121</v>
      </c>
      <c r="C51" s="12">
        <v>1028683894</v>
      </c>
      <c r="D51" s="12">
        <v>7</v>
      </c>
      <c r="E51" s="12" t="s">
        <v>11</v>
      </c>
      <c r="F51" s="13" t="s">
        <v>29</v>
      </c>
      <c r="G51" s="13" t="s">
        <v>51</v>
      </c>
      <c r="H51" s="41" t="s">
        <v>33</v>
      </c>
      <c r="I51" s="13" t="s">
        <v>55</v>
      </c>
      <c r="J51" s="13" t="s">
        <v>39</v>
      </c>
    </row>
    <row r="52" spans="1:10" x14ac:dyDescent="0.25">
      <c r="A52" s="14">
        <v>51</v>
      </c>
      <c r="B52" s="15" t="s">
        <v>122</v>
      </c>
      <c r="C52" s="15">
        <v>1014740128</v>
      </c>
      <c r="D52" s="15">
        <v>12</v>
      </c>
      <c r="E52" s="15" t="s">
        <v>11</v>
      </c>
      <c r="F52" s="10" t="s">
        <v>59</v>
      </c>
      <c r="G52" s="10" t="s">
        <v>29</v>
      </c>
      <c r="H52" s="42" t="s">
        <v>14</v>
      </c>
      <c r="I52" s="23" t="s">
        <v>102</v>
      </c>
      <c r="J52" s="7" t="s">
        <v>71</v>
      </c>
    </row>
    <row r="53" spans="1:10" x14ac:dyDescent="0.25">
      <c r="A53" s="14">
        <v>52</v>
      </c>
      <c r="B53" s="15" t="s">
        <v>123</v>
      </c>
      <c r="C53" s="15">
        <v>1014596769</v>
      </c>
      <c r="D53" s="15">
        <v>14</v>
      </c>
      <c r="E53" s="15" t="s">
        <v>69</v>
      </c>
      <c r="F53" s="10" t="s">
        <v>59</v>
      </c>
      <c r="G53" s="10" t="s">
        <v>18</v>
      </c>
      <c r="H53" s="43" t="s">
        <v>16</v>
      </c>
      <c r="I53" s="10" t="s">
        <v>65</v>
      </c>
      <c r="J53" s="31" t="s">
        <v>22</v>
      </c>
    </row>
    <row r="54" spans="1:10" x14ac:dyDescent="0.25">
      <c r="A54" s="14">
        <v>53</v>
      </c>
      <c r="B54" s="15" t="s">
        <v>124</v>
      </c>
      <c r="C54" s="15">
        <v>1029290305</v>
      </c>
      <c r="D54" s="15">
        <v>9</v>
      </c>
      <c r="E54" s="15" t="s">
        <v>69</v>
      </c>
      <c r="F54" s="10" t="s">
        <v>89</v>
      </c>
      <c r="G54" s="10" t="s">
        <v>70</v>
      </c>
      <c r="H54" s="42" t="s">
        <v>22</v>
      </c>
      <c r="I54" s="10" t="s">
        <v>65</v>
      </c>
      <c r="J54" s="10" t="s">
        <v>20</v>
      </c>
    </row>
    <row r="55" spans="1:10" x14ac:dyDescent="0.25">
      <c r="A55" s="16">
        <v>54</v>
      </c>
      <c r="B55" s="17" t="s">
        <v>125</v>
      </c>
      <c r="C55" s="17">
        <v>1027528232</v>
      </c>
      <c r="D55" s="17">
        <v>13</v>
      </c>
      <c r="E55" s="17" t="s">
        <v>50</v>
      </c>
      <c r="F55" s="18" t="s">
        <v>44</v>
      </c>
      <c r="G55" s="18" t="s">
        <v>29</v>
      </c>
      <c r="H55" s="44" t="s">
        <v>33</v>
      </c>
      <c r="I55" s="18" t="s">
        <v>21</v>
      </c>
      <c r="J55" s="18" t="s">
        <v>46</v>
      </c>
    </row>
    <row r="56" spans="1:10" x14ac:dyDescent="0.25">
      <c r="A56" s="6">
        <v>55</v>
      </c>
      <c r="B56" s="9" t="s">
        <v>126</v>
      </c>
      <c r="C56" s="9">
        <v>1034782323</v>
      </c>
      <c r="D56" s="9">
        <v>9</v>
      </c>
      <c r="E56" s="9" t="s">
        <v>69</v>
      </c>
      <c r="F56" s="7" t="s">
        <v>45</v>
      </c>
      <c r="G56" s="7" t="s">
        <v>76</v>
      </c>
      <c r="H56" s="8" t="s">
        <v>33</v>
      </c>
      <c r="I56" s="7" t="s">
        <v>127</v>
      </c>
      <c r="J56" s="7" t="s">
        <v>22</v>
      </c>
    </row>
    <row r="59" spans="1:10" x14ac:dyDescent="0.25">
      <c r="H59" s="52"/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D9CA6-EF20-4508-9DF6-4C950CAE59F4}">
  <dimension ref="A1:R376"/>
  <sheetViews>
    <sheetView zoomScale="80" zoomScaleNormal="80" workbookViewId="0">
      <selection activeCell="A14" sqref="A14"/>
    </sheetView>
  </sheetViews>
  <sheetFormatPr baseColWidth="10" defaultColWidth="11.42578125" defaultRowHeight="15" x14ac:dyDescent="0.25"/>
  <cols>
    <col min="2" max="2" width="16.85546875" customWidth="1"/>
    <col min="8" max="8" width="15.28515625" customWidth="1"/>
    <col min="9" max="14" width="17.7109375" customWidth="1"/>
    <col min="15" max="15" width="22.42578125" style="10" customWidth="1"/>
    <col min="16" max="16" width="64.42578125" style="10" bestFit="1" customWidth="1"/>
    <col min="17" max="17" width="27.7109375" style="19" customWidth="1"/>
    <col min="18" max="18" width="39" style="19" customWidth="1"/>
  </cols>
  <sheetData>
    <row r="1" spans="1:18" ht="45" x14ac:dyDescent="0.25">
      <c r="A1" s="5" t="s">
        <v>128</v>
      </c>
      <c r="B1" s="33" t="s">
        <v>129</v>
      </c>
      <c r="C1" s="5" t="s">
        <v>3</v>
      </c>
      <c r="D1" s="5" t="s">
        <v>4</v>
      </c>
      <c r="E1" s="3" t="s">
        <v>5</v>
      </c>
      <c r="F1" s="3" t="s">
        <v>6</v>
      </c>
      <c r="G1" s="3" t="s">
        <v>7</v>
      </c>
      <c r="H1" s="4" t="s">
        <v>8</v>
      </c>
      <c r="I1" s="20" t="s">
        <v>9</v>
      </c>
      <c r="J1" s="45" t="s">
        <v>130</v>
      </c>
      <c r="K1" s="45" t="s">
        <v>131</v>
      </c>
      <c r="L1" s="45" t="s">
        <v>132</v>
      </c>
      <c r="M1" s="45" t="s">
        <v>133</v>
      </c>
      <c r="N1" s="45" t="s">
        <v>134</v>
      </c>
      <c r="O1" s="48" t="s">
        <v>135</v>
      </c>
      <c r="P1" s="24" t="s">
        <v>136</v>
      </c>
      <c r="Q1" s="27" t="s">
        <v>137</v>
      </c>
      <c r="R1" s="25" t="s">
        <v>138</v>
      </c>
    </row>
    <row r="2" spans="1:18" x14ac:dyDescent="0.25">
      <c r="A2" s="6">
        <v>1</v>
      </c>
      <c r="B2" s="9">
        <v>1140926993</v>
      </c>
      <c r="C2" s="9">
        <v>9</v>
      </c>
      <c r="D2" s="9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22" t="s">
        <v>16</v>
      </c>
      <c r="J2" s="42">
        <v>5</v>
      </c>
      <c r="K2" s="42">
        <v>9.5</v>
      </c>
      <c r="L2" s="42" t="s">
        <v>139</v>
      </c>
      <c r="M2" s="42">
        <v>2</v>
      </c>
      <c r="N2" s="42" t="s">
        <v>140</v>
      </c>
      <c r="O2" s="49" t="s">
        <v>141</v>
      </c>
      <c r="P2" s="10" t="s">
        <v>142</v>
      </c>
      <c r="Q2" s="26">
        <v>4</v>
      </c>
    </row>
    <row r="3" spans="1:18" x14ac:dyDescent="0.25">
      <c r="A3" s="6">
        <v>2</v>
      </c>
      <c r="B3" s="9">
        <v>1025071557</v>
      </c>
      <c r="C3" s="9">
        <v>10</v>
      </c>
      <c r="D3" s="9" t="s">
        <v>11</v>
      </c>
      <c r="E3" s="8" t="s">
        <v>18</v>
      </c>
      <c r="F3" s="8" t="s">
        <v>19</v>
      </c>
      <c r="G3" s="8" t="s">
        <v>20</v>
      </c>
      <c r="H3" s="8" t="s">
        <v>21</v>
      </c>
      <c r="I3" s="22" t="s">
        <v>22</v>
      </c>
      <c r="J3" s="42">
        <v>-5</v>
      </c>
      <c r="K3" s="42">
        <v>3.5</v>
      </c>
      <c r="L3" s="42" t="s">
        <v>143</v>
      </c>
      <c r="M3" s="42">
        <v>6</v>
      </c>
      <c r="N3" s="42" t="s">
        <v>144</v>
      </c>
      <c r="O3" s="49" t="s">
        <v>145</v>
      </c>
      <c r="P3" s="10" t="s">
        <v>146</v>
      </c>
      <c r="Q3" s="26">
        <v>1</v>
      </c>
    </row>
    <row r="4" spans="1:18" x14ac:dyDescent="0.25">
      <c r="A4" s="6">
        <v>3</v>
      </c>
      <c r="B4" s="9">
        <v>1019986884</v>
      </c>
      <c r="C4" s="9">
        <v>12</v>
      </c>
      <c r="D4" s="9" t="s">
        <v>11</v>
      </c>
      <c r="E4" s="7" t="s">
        <v>24</v>
      </c>
      <c r="F4" s="7" t="s">
        <v>25</v>
      </c>
      <c r="G4" s="7" t="s">
        <v>26</v>
      </c>
      <c r="H4" s="7" t="s">
        <v>27</v>
      </c>
      <c r="I4" s="21">
        <v>7</v>
      </c>
      <c r="J4" s="10">
        <v>7</v>
      </c>
      <c r="K4" s="10">
        <v>8.5</v>
      </c>
      <c r="L4" s="10" t="s">
        <v>183</v>
      </c>
      <c r="M4" s="10">
        <v>1</v>
      </c>
      <c r="N4" s="10" t="s">
        <v>187</v>
      </c>
      <c r="O4" s="49" t="s">
        <v>147</v>
      </c>
      <c r="P4" s="10" t="s">
        <v>148</v>
      </c>
      <c r="Q4" s="26">
        <v>2</v>
      </c>
    </row>
    <row r="5" spans="1:18" x14ac:dyDescent="0.25">
      <c r="A5" s="6">
        <v>4</v>
      </c>
      <c r="B5" s="9">
        <v>1023369404</v>
      </c>
      <c r="C5" s="9">
        <v>12</v>
      </c>
      <c r="D5" s="9" t="s">
        <v>11</v>
      </c>
      <c r="E5" s="7" t="s">
        <v>29</v>
      </c>
      <c r="F5" s="7" t="s">
        <v>30</v>
      </c>
      <c r="G5" s="7" t="s">
        <v>31</v>
      </c>
      <c r="H5" s="7" t="s">
        <v>32</v>
      </c>
      <c r="I5" s="21" t="s">
        <v>33</v>
      </c>
      <c r="J5" s="10">
        <v>5</v>
      </c>
      <c r="K5" s="10">
        <v>5.5</v>
      </c>
      <c r="L5" s="10" t="s">
        <v>139</v>
      </c>
      <c r="M5" s="10">
        <v>3</v>
      </c>
      <c r="N5" s="10" t="s">
        <v>140</v>
      </c>
      <c r="O5" s="49" t="s">
        <v>141</v>
      </c>
      <c r="P5" s="10" t="s">
        <v>149</v>
      </c>
      <c r="Q5" s="26">
        <v>4</v>
      </c>
    </row>
    <row r="6" spans="1:18" x14ac:dyDescent="0.25">
      <c r="A6" s="6">
        <v>5</v>
      </c>
      <c r="B6" s="9">
        <v>1028683488</v>
      </c>
      <c r="C6" s="9">
        <v>9</v>
      </c>
      <c r="D6" s="9" t="s">
        <v>11</v>
      </c>
      <c r="E6" s="8" t="s">
        <v>29</v>
      </c>
      <c r="F6" s="8" t="s">
        <v>12</v>
      </c>
      <c r="G6" s="8" t="s">
        <v>20</v>
      </c>
      <c r="H6" s="8" t="s">
        <v>35</v>
      </c>
      <c r="I6" s="22" t="s">
        <v>36</v>
      </c>
      <c r="J6" s="42">
        <v>2</v>
      </c>
      <c r="K6" s="42">
        <v>5</v>
      </c>
      <c r="L6" s="42" t="s">
        <v>139</v>
      </c>
      <c r="M6" s="42">
        <v>6</v>
      </c>
      <c r="N6" s="42" t="s">
        <v>140</v>
      </c>
      <c r="O6" s="49" t="s">
        <v>150</v>
      </c>
      <c r="P6" s="10" t="s">
        <v>151</v>
      </c>
      <c r="Q6" s="26">
        <v>3</v>
      </c>
    </row>
    <row r="7" spans="1:18" x14ac:dyDescent="0.25">
      <c r="A7" s="6">
        <v>6</v>
      </c>
      <c r="B7" s="9">
        <v>1011236422</v>
      </c>
      <c r="C7" s="9">
        <v>8</v>
      </c>
      <c r="D7" s="9" t="s">
        <v>11</v>
      </c>
      <c r="E7" s="8" t="s">
        <v>30</v>
      </c>
      <c r="F7" s="8" t="s">
        <v>12</v>
      </c>
      <c r="G7" s="8" t="s">
        <v>31</v>
      </c>
      <c r="H7" s="8" t="s">
        <v>38</v>
      </c>
      <c r="I7" s="22" t="s">
        <v>39</v>
      </c>
      <c r="J7" s="42">
        <v>3</v>
      </c>
      <c r="K7" s="42">
        <v>3.5</v>
      </c>
      <c r="L7" s="42" t="s">
        <v>139</v>
      </c>
      <c r="M7" s="42">
        <v>3</v>
      </c>
      <c r="N7" s="42" t="s">
        <v>140</v>
      </c>
      <c r="O7" s="49" t="s">
        <v>141</v>
      </c>
      <c r="P7" s="10" t="s">
        <v>142</v>
      </c>
      <c r="Q7" s="26">
        <v>4</v>
      </c>
    </row>
    <row r="8" spans="1:18" x14ac:dyDescent="0.25">
      <c r="A8" s="6">
        <v>7</v>
      </c>
      <c r="B8" s="53">
        <v>1025327137</v>
      </c>
      <c r="C8" s="9">
        <v>11</v>
      </c>
      <c r="D8" s="9" t="s">
        <v>11</v>
      </c>
      <c r="E8" s="8" t="s">
        <v>29</v>
      </c>
      <c r="F8" s="8" t="s">
        <v>12</v>
      </c>
      <c r="G8" s="8" t="s">
        <v>20</v>
      </c>
      <c r="H8" s="8" t="s">
        <v>41</v>
      </c>
      <c r="I8" s="22" t="s">
        <v>42</v>
      </c>
      <c r="J8" s="42">
        <v>4</v>
      </c>
      <c r="K8" s="42">
        <v>-1</v>
      </c>
      <c r="L8" s="42" t="s">
        <v>139</v>
      </c>
      <c r="M8" s="42">
        <v>6</v>
      </c>
      <c r="N8" s="42" t="s">
        <v>152</v>
      </c>
      <c r="O8" s="49" t="s">
        <v>153</v>
      </c>
      <c r="P8" s="10" t="s">
        <v>154</v>
      </c>
      <c r="Q8" s="26">
        <v>3</v>
      </c>
    </row>
    <row r="9" spans="1:18" x14ac:dyDescent="0.25">
      <c r="A9" s="6">
        <v>8</v>
      </c>
      <c r="B9" s="9">
        <v>1023948634</v>
      </c>
      <c r="C9" s="9">
        <v>9</v>
      </c>
      <c r="D9" s="9" t="s">
        <v>11</v>
      </c>
      <c r="E9" s="8" t="s">
        <v>44</v>
      </c>
      <c r="F9" s="8" t="s">
        <v>45</v>
      </c>
      <c r="G9" s="8" t="s">
        <v>16</v>
      </c>
      <c r="H9" s="8" t="s">
        <v>41</v>
      </c>
      <c r="I9" s="22" t="s">
        <v>46</v>
      </c>
      <c r="J9" s="42">
        <v>-6</v>
      </c>
      <c r="K9" s="42">
        <v>5</v>
      </c>
      <c r="L9" s="42" t="s">
        <v>143</v>
      </c>
      <c r="M9" s="42">
        <v>5</v>
      </c>
      <c r="N9" s="42" t="s">
        <v>144</v>
      </c>
      <c r="O9" s="49" t="s">
        <v>155</v>
      </c>
      <c r="P9" s="10" t="s">
        <v>156</v>
      </c>
      <c r="Q9" s="26">
        <v>2</v>
      </c>
    </row>
    <row r="10" spans="1:18" x14ac:dyDescent="0.25">
      <c r="A10" s="6">
        <v>9</v>
      </c>
      <c r="B10" s="9">
        <v>1016733456</v>
      </c>
      <c r="C10" s="9">
        <v>9</v>
      </c>
      <c r="D10" s="9" t="s">
        <v>11</v>
      </c>
      <c r="E10" s="7" t="s">
        <v>48</v>
      </c>
      <c r="F10" s="7" t="s">
        <v>30</v>
      </c>
      <c r="G10" s="7" t="s">
        <v>16</v>
      </c>
      <c r="H10" s="7" t="s">
        <v>41</v>
      </c>
      <c r="I10" s="21" t="s">
        <v>36</v>
      </c>
      <c r="J10" s="10">
        <v>-2</v>
      </c>
      <c r="K10" s="10">
        <v>4</v>
      </c>
      <c r="L10" s="10" t="s">
        <v>143</v>
      </c>
      <c r="M10" s="10">
        <v>5</v>
      </c>
      <c r="N10" s="10" t="s">
        <v>144</v>
      </c>
      <c r="O10" s="49" t="s">
        <v>155</v>
      </c>
      <c r="P10" s="10" t="s">
        <v>156</v>
      </c>
      <c r="Q10" s="26">
        <v>2</v>
      </c>
    </row>
    <row r="11" spans="1:18" x14ac:dyDescent="0.25">
      <c r="A11" s="6">
        <v>10</v>
      </c>
      <c r="B11" s="9">
        <v>1010209452</v>
      </c>
      <c r="C11" s="9">
        <v>12</v>
      </c>
      <c r="D11" s="9" t="s">
        <v>50</v>
      </c>
      <c r="E11" s="7" t="s">
        <v>19</v>
      </c>
      <c r="F11" s="7" t="s">
        <v>51</v>
      </c>
      <c r="G11" s="7" t="s">
        <v>16</v>
      </c>
      <c r="H11" s="7" t="s">
        <v>41</v>
      </c>
      <c r="I11" s="21" t="s">
        <v>52</v>
      </c>
      <c r="J11" s="10">
        <v>0</v>
      </c>
      <c r="K11" s="10">
        <v>2</v>
      </c>
      <c r="L11" s="10" t="s">
        <v>139</v>
      </c>
      <c r="M11" s="10">
        <v>5</v>
      </c>
      <c r="N11" s="10" t="s">
        <v>181</v>
      </c>
      <c r="O11" s="49" t="s">
        <v>157</v>
      </c>
      <c r="P11" s="10" t="s">
        <v>158</v>
      </c>
      <c r="Q11" s="26">
        <v>3</v>
      </c>
    </row>
    <row r="12" spans="1:18" x14ac:dyDescent="0.25">
      <c r="A12" s="6">
        <v>11</v>
      </c>
      <c r="B12" s="9">
        <v>1030668204</v>
      </c>
      <c r="C12" s="9">
        <v>6</v>
      </c>
      <c r="D12" s="9" t="s">
        <v>50</v>
      </c>
      <c r="E12" s="8" t="s">
        <v>30</v>
      </c>
      <c r="F12" s="8" t="s">
        <v>19</v>
      </c>
      <c r="G12" s="8" t="s">
        <v>54</v>
      </c>
      <c r="H12" s="8" t="s">
        <v>55</v>
      </c>
      <c r="I12" s="22" t="s">
        <v>16</v>
      </c>
      <c r="J12" s="42">
        <v>-14</v>
      </c>
      <c r="K12" s="42">
        <v>10</v>
      </c>
      <c r="L12" s="42" t="s">
        <v>143</v>
      </c>
      <c r="M12" s="42">
        <v>-4</v>
      </c>
      <c r="N12" s="42" t="s">
        <v>144</v>
      </c>
      <c r="O12" s="49" t="s">
        <v>159</v>
      </c>
      <c r="P12" s="10" t="s">
        <v>160</v>
      </c>
      <c r="Q12" s="26">
        <v>5</v>
      </c>
    </row>
    <row r="13" spans="1:18" x14ac:dyDescent="0.25">
      <c r="A13" s="6">
        <v>12</v>
      </c>
      <c r="B13" s="9">
        <v>1019604529</v>
      </c>
      <c r="C13" s="9">
        <v>12</v>
      </c>
      <c r="D13" s="9" t="s">
        <v>11</v>
      </c>
      <c r="E13" s="8" t="s">
        <v>29</v>
      </c>
      <c r="F13" s="8" t="s">
        <v>12</v>
      </c>
      <c r="G13" s="8" t="s">
        <v>20</v>
      </c>
      <c r="H13" s="8" t="s">
        <v>57</v>
      </c>
      <c r="I13" s="22" t="s">
        <v>39</v>
      </c>
      <c r="J13" s="42">
        <v>-3</v>
      </c>
      <c r="K13" s="42">
        <v>6.5</v>
      </c>
      <c r="L13" s="42" t="s">
        <v>143</v>
      </c>
      <c r="M13" s="42">
        <v>6</v>
      </c>
      <c r="N13" s="42" t="s">
        <v>144</v>
      </c>
      <c r="O13" s="49" t="s">
        <v>145</v>
      </c>
      <c r="P13" s="10" t="s">
        <v>146</v>
      </c>
      <c r="Q13" s="26">
        <v>1</v>
      </c>
    </row>
    <row r="14" spans="1:18" x14ac:dyDescent="0.25">
      <c r="A14" s="6">
        <v>13</v>
      </c>
      <c r="B14" s="9">
        <v>1023959879</v>
      </c>
      <c r="C14" s="9">
        <v>7</v>
      </c>
      <c r="D14" s="9" t="s">
        <v>50</v>
      </c>
      <c r="E14" s="8" t="s">
        <v>59</v>
      </c>
      <c r="F14" s="8" t="s">
        <v>48</v>
      </c>
      <c r="G14" s="8" t="s">
        <v>60</v>
      </c>
      <c r="H14" s="8" t="s">
        <v>41</v>
      </c>
      <c r="I14" s="22" t="s">
        <v>22</v>
      </c>
      <c r="J14" s="42">
        <v>-14</v>
      </c>
      <c r="K14" s="42">
        <v>6</v>
      </c>
      <c r="L14" s="42" t="s">
        <v>143</v>
      </c>
      <c r="M14" s="42">
        <v>-1</v>
      </c>
      <c r="N14" s="42" t="s">
        <v>144</v>
      </c>
      <c r="O14" s="49" t="s">
        <v>159</v>
      </c>
      <c r="P14" s="10" t="s">
        <v>160</v>
      </c>
      <c r="Q14" s="26">
        <v>5</v>
      </c>
    </row>
    <row r="15" spans="1:18" x14ac:dyDescent="0.25">
      <c r="A15" s="6">
        <v>14</v>
      </c>
      <c r="B15" s="9">
        <v>1023381606</v>
      </c>
      <c r="C15" s="9">
        <v>12</v>
      </c>
      <c r="D15" s="9" t="s">
        <v>11</v>
      </c>
      <c r="E15" s="8" t="s">
        <v>44</v>
      </c>
      <c r="F15" s="8" t="s">
        <v>29</v>
      </c>
      <c r="G15" s="8" t="s">
        <v>33</v>
      </c>
      <c r="H15" s="8" t="s">
        <v>21</v>
      </c>
      <c r="I15" s="22" t="s">
        <v>46</v>
      </c>
      <c r="J15" s="42">
        <v>-3</v>
      </c>
      <c r="K15" s="42">
        <v>2.5</v>
      </c>
      <c r="L15" s="42" t="s">
        <v>143</v>
      </c>
      <c r="M15" s="42">
        <v>4</v>
      </c>
      <c r="N15" s="42" t="s">
        <v>161</v>
      </c>
      <c r="O15" s="49" t="s">
        <v>162</v>
      </c>
      <c r="P15" s="10" t="s">
        <v>163</v>
      </c>
      <c r="Q15" s="26">
        <v>1</v>
      </c>
    </row>
    <row r="16" spans="1:18" x14ac:dyDescent="0.25">
      <c r="A16" s="6">
        <v>15</v>
      </c>
      <c r="B16" s="9">
        <v>1021675756</v>
      </c>
      <c r="C16" s="9">
        <v>12</v>
      </c>
      <c r="D16" s="9" t="s">
        <v>11</v>
      </c>
      <c r="E16" s="8" t="s">
        <v>63</v>
      </c>
      <c r="F16" s="8" t="s">
        <v>64</v>
      </c>
      <c r="G16" s="8" t="s">
        <v>31</v>
      </c>
      <c r="H16" s="8" t="s">
        <v>65</v>
      </c>
      <c r="I16" s="22" t="s">
        <v>33</v>
      </c>
      <c r="J16" s="42">
        <v>-14</v>
      </c>
      <c r="K16" s="42">
        <v>6</v>
      </c>
      <c r="L16" s="42" t="s">
        <v>143</v>
      </c>
      <c r="M16" s="42">
        <v>3</v>
      </c>
      <c r="N16" s="42" t="s">
        <v>144</v>
      </c>
      <c r="O16" s="49" t="s">
        <v>155</v>
      </c>
      <c r="P16" s="10" t="s">
        <v>156</v>
      </c>
      <c r="Q16" s="26">
        <v>2</v>
      </c>
    </row>
    <row r="17" spans="1:17" x14ac:dyDescent="0.25">
      <c r="A17" s="6">
        <v>16</v>
      </c>
      <c r="B17" s="9"/>
      <c r="C17" s="9">
        <v>8</v>
      </c>
      <c r="D17" s="9" t="s">
        <v>11</v>
      </c>
      <c r="E17" s="8" t="s">
        <v>18</v>
      </c>
      <c r="F17" s="8" t="s">
        <v>59</v>
      </c>
      <c r="G17" s="8" t="s">
        <v>16</v>
      </c>
      <c r="H17" s="8" t="s">
        <v>67</v>
      </c>
      <c r="I17" s="22" t="s">
        <v>46</v>
      </c>
      <c r="J17" s="42">
        <v>-8</v>
      </c>
      <c r="K17" s="42">
        <v>3</v>
      </c>
      <c r="L17" s="42" t="s">
        <v>183</v>
      </c>
      <c r="M17" s="42">
        <v>5</v>
      </c>
      <c r="N17" s="42" t="s">
        <v>190</v>
      </c>
      <c r="O17" s="49" t="s">
        <v>164</v>
      </c>
      <c r="P17" s="10" t="s">
        <v>165</v>
      </c>
      <c r="Q17" s="26">
        <v>5</v>
      </c>
    </row>
    <row r="18" spans="1:17" x14ac:dyDescent="0.25">
      <c r="A18" s="6">
        <v>17</v>
      </c>
      <c r="B18" s="9">
        <v>1031172773</v>
      </c>
      <c r="C18" s="9">
        <v>6</v>
      </c>
      <c r="D18" s="9" t="s">
        <v>69</v>
      </c>
      <c r="E18" s="8" t="s">
        <v>19</v>
      </c>
      <c r="F18" s="8" t="s">
        <v>70</v>
      </c>
      <c r="G18" s="8" t="s">
        <v>31</v>
      </c>
      <c r="H18" s="8" t="s">
        <v>41</v>
      </c>
      <c r="I18" s="22" t="s">
        <v>71</v>
      </c>
      <c r="J18" s="42">
        <v>-4</v>
      </c>
      <c r="K18" s="42">
        <v>-3</v>
      </c>
      <c r="L18" s="42" t="s">
        <v>143</v>
      </c>
      <c r="M18" s="42">
        <v>3</v>
      </c>
      <c r="N18" s="42" t="s">
        <v>166</v>
      </c>
      <c r="O18" s="49" t="s">
        <v>167</v>
      </c>
      <c r="P18" s="10" t="s">
        <v>168</v>
      </c>
      <c r="Q18" s="26">
        <v>1</v>
      </c>
    </row>
    <row r="19" spans="1:17" x14ac:dyDescent="0.25">
      <c r="A19" s="6">
        <v>18</v>
      </c>
      <c r="B19" s="9">
        <v>1188216704</v>
      </c>
      <c r="C19" s="9">
        <v>7</v>
      </c>
      <c r="D19" s="9" t="s">
        <v>50</v>
      </c>
      <c r="E19" s="7" t="s">
        <v>29</v>
      </c>
      <c r="F19" s="1" t="s">
        <v>59</v>
      </c>
      <c r="G19" s="7" t="s">
        <v>14</v>
      </c>
      <c r="H19" s="7" t="s">
        <v>67</v>
      </c>
      <c r="I19" s="21" t="s">
        <v>22</v>
      </c>
      <c r="J19" s="10">
        <v>-8</v>
      </c>
      <c r="K19" s="10">
        <v>4</v>
      </c>
      <c r="L19" s="10" t="s">
        <v>183</v>
      </c>
      <c r="M19" s="10">
        <v>2</v>
      </c>
      <c r="N19" s="10" t="s">
        <v>187</v>
      </c>
      <c r="O19" s="49" t="s">
        <v>169</v>
      </c>
      <c r="P19" s="10" t="s">
        <v>170</v>
      </c>
      <c r="Q19" s="26">
        <v>5</v>
      </c>
    </row>
    <row r="20" spans="1:17" x14ac:dyDescent="0.25">
      <c r="A20" s="6">
        <v>19</v>
      </c>
      <c r="B20" s="9">
        <v>1034277995</v>
      </c>
      <c r="C20" s="9">
        <v>14</v>
      </c>
      <c r="D20" s="9" t="s">
        <v>11</v>
      </c>
      <c r="E20" s="7" t="s">
        <v>29</v>
      </c>
      <c r="F20" s="7" t="s">
        <v>45</v>
      </c>
      <c r="G20" s="7" t="s">
        <v>26</v>
      </c>
      <c r="H20" s="7" t="s">
        <v>21</v>
      </c>
      <c r="I20" s="21" t="s">
        <v>46</v>
      </c>
      <c r="J20" s="10">
        <v>-1</v>
      </c>
      <c r="K20" s="10">
        <v>2.5</v>
      </c>
      <c r="L20" s="10" t="s">
        <v>183</v>
      </c>
      <c r="M20" s="10">
        <v>1</v>
      </c>
      <c r="N20" s="10" t="s">
        <v>190</v>
      </c>
      <c r="O20" s="49" t="s">
        <v>171</v>
      </c>
      <c r="P20" s="10" t="s">
        <v>172</v>
      </c>
      <c r="Q20" s="26">
        <v>5</v>
      </c>
    </row>
    <row r="21" spans="1:17" x14ac:dyDescent="0.25">
      <c r="A21" s="6">
        <v>20</v>
      </c>
      <c r="B21" s="9">
        <v>1049620285</v>
      </c>
      <c r="C21" s="9">
        <v>10</v>
      </c>
      <c r="D21" s="9" t="s">
        <v>11</v>
      </c>
      <c r="E21" s="7" t="s">
        <v>45</v>
      </c>
      <c r="F21" s="7" t="s">
        <v>51</v>
      </c>
      <c r="G21" s="7" t="s">
        <v>31</v>
      </c>
      <c r="H21" s="7" t="s">
        <v>35</v>
      </c>
      <c r="I21" s="21" t="s">
        <v>36</v>
      </c>
      <c r="J21" s="10">
        <v>-2</v>
      </c>
      <c r="K21" s="10">
        <v>5</v>
      </c>
      <c r="L21" s="10" t="s">
        <v>183</v>
      </c>
      <c r="M21" s="10">
        <v>3</v>
      </c>
      <c r="N21" s="10" t="s">
        <v>187</v>
      </c>
      <c r="O21" s="49" t="s">
        <v>169</v>
      </c>
      <c r="P21" s="10" t="s">
        <v>170</v>
      </c>
      <c r="Q21" s="26">
        <v>5</v>
      </c>
    </row>
    <row r="22" spans="1:17" x14ac:dyDescent="0.25">
      <c r="A22" s="6">
        <v>21</v>
      </c>
      <c r="B22" s="9">
        <v>1013606908</v>
      </c>
      <c r="C22" s="9">
        <v>13</v>
      </c>
      <c r="D22" s="9" t="s">
        <v>11</v>
      </c>
      <c r="E22" s="7" t="s">
        <v>51</v>
      </c>
      <c r="F22" s="7" t="s">
        <v>76</v>
      </c>
      <c r="G22" s="7" t="s">
        <v>60</v>
      </c>
      <c r="H22" s="7" t="s">
        <v>77</v>
      </c>
      <c r="I22" s="21" t="s">
        <v>52</v>
      </c>
      <c r="J22" s="10">
        <v>3</v>
      </c>
      <c r="K22" s="10">
        <v>1.5</v>
      </c>
      <c r="L22" s="10" t="s">
        <v>183</v>
      </c>
      <c r="M22" s="10">
        <v>-1</v>
      </c>
      <c r="N22" s="10" t="s">
        <v>190</v>
      </c>
      <c r="O22" s="49" t="s">
        <v>173</v>
      </c>
      <c r="P22" s="10" t="s">
        <v>174</v>
      </c>
      <c r="Q22" s="26">
        <v>6</v>
      </c>
    </row>
    <row r="23" spans="1:17" x14ac:dyDescent="0.25">
      <c r="A23" s="6">
        <v>22</v>
      </c>
      <c r="B23" s="9">
        <v>1028862241</v>
      </c>
      <c r="C23" s="9">
        <v>11</v>
      </c>
      <c r="D23" s="9" t="s">
        <v>11</v>
      </c>
      <c r="E23" s="7" t="s">
        <v>19</v>
      </c>
      <c r="F23" s="7" t="s">
        <v>12</v>
      </c>
      <c r="G23" s="7" t="s">
        <v>22</v>
      </c>
      <c r="H23" s="7" t="s">
        <v>27</v>
      </c>
      <c r="I23" s="21" t="s">
        <v>79</v>
      </c>
      <c r="J23" s="10">
        <v>-1</v>
      </c>
      <c r="K23" s="10">
        <v>-1.5</v>
      </c>
      <c r="L23" s="10" t="s">
        <v>183</v>
      </c>
      <c r="M23" s="10">
        <v>7</v>
      </c>
      <c r="N23" s="10" t="s">
        <v>184</v>
      </c>
      <c r="O23" s="49" t="s">
        <v>175</v>
      </c>
      <c r="P23" s="10" t="s">
        <v>176</v>
      </c>
      <c r="Q23" s="26">
        <v>2</v>
      </c>
    </row>
    <row r="24" spans="1:17" x14ac:dyDescent="0.25">
      <c r="A24" s="6">
        <v>23</v>
      </c>
      <c r="B24" s="9">
        <v>1141332591</v>
      </c>
      <c r="C24" s="9">
        <v>11</v>
      </c>
      <c r="D24" s="9" t="s">
        <v>11</v>
      </c>
      <c r="E24" s="7" t="s">
        <v>44</v>
      </c>
      <c r="F24" s="7" t="s">
        <v>29</v>
      </c>
      <c r="G24" s="7" t="s">
        <v>33</v>
      </c>
      <c r="H24" s="7" t="s">
        <v>21</v>
      </c>
      <c r="I24" s="21">
        <v>12</v>
      </c>
      <c r="J24" s="10">
        <v>-3</v>
      </c>
      <c r="K24" s="10">
        <v>-1.5</v>
      </c>
      <c r="L24" s="10" t="s">
        <v>183</v>
      </c>
      <c r="M24" s="10">
        <v>4</v>
      </c>
      <c r="N24" s="10" t="s">
        <v>184</v>
      </c>
      <c r="O24" s="49" t="s">
        <v>177</v>
      </c>
      <c r="P24" s="10" t="s">
        <v>178</v>
      </c>
      <c r="Q24" s="26">
        <v>5</v>
      </c>
    </row>
    <row r="25" spans="1:17" x14ac:dyDescent="0.25">
      <c r="A25" s="6">
        <v>24</v>
      </c>
      <c r="B25" s="9">
        <v>1141342937</v>
      </c>
      <c r="C25" s="9">
        <v>8</v>
      </c>
      <c r="D25" s="9" t="s">
        <v>50</v>
      </c>
      <c r="E25" s="7" t="s">
        <v>82</v>
      </c>
      <c r="F25" s="7" t="s">
        <v>83</v>
      </c>
      <c r="G25" s="7" t="s">
        <v>14</v>
      </c>
      <c r="H25" s="7" t="s">
        <v>38</v>
      </c>
      <c r="I25" s="21" t="s">
        <v>42</v>
      </c>
      <c r="J25" s="10">
        <v>-25</v>
      </c>
      <c r="K25" s="10">
        <v>-0.5</v>
      </c>
      <c r="L25" s="10" t="s">
        <v>143</v>
      </c>
      <c r="M25" s="10">
        <v>2</v>
      </c>
      <c r="N25" s="10" t="s">
        <v>166</v>
      </c>
      <c r="O25" s="49" t="s">
        <v>179</v>
      </c>
      <c r="P25" s="10" t="s">
        <v>180</v>
      </c>
      <c r="Q25" s="26">
        <v>2</v>
      </c>
    </row>
    <row r="26" spans="1:17" x14ac:dyDescent="0.25">
      <c r="A26" s="6">
        <v>25</v>
      </c>
      <c r="B26" s="9">
        <v>1030668204</v>
      </c>
      <c r="C26" s="9">
        <v>6</v>
      </c>
      <c r="D26" s="9" t="s">
        <v>50</v>
      </c>
      <c r="E26" s="7" t="s">
        <v>84</v>
      </c>
      <c r="F26" s="7" t="s">
        <v>51</v>
      </c>
      <c r="G26" s="7" t="s">
        <v>31</v>
      </c>
      <c r="H26" s="7" t="s">
        <v>85</v>
      </c>
      <c r="I26" s="21" t="s">
        <v>39</v>
      </c>
      <c r="J26" s="10">
        <v>7.5</v>
      </c>
      <c r="K26" s="10">
        <v>10</v>
      </c>
      <c r="L26" s="10" t="s">
        <v>143</v>
      </c>
      <c r="M26" s="10">
        <v>3</v>
      </c>
      <c r="N26" s="10" t="s">
        <v>144</v>
      </c>
      <c r="O26" s="49" t="s">
        <v>155</v>
      </c>
      <c r="P26" s="10" t="s">
        <v>156</v>
      </c>
      <c r="Q26" s="26">
        <v>2</v>
      </c>
    </row>
    <row r="27" spans="1:17" x14ac:dyDescent="0.25">
      <c r="A27" s="6">
        <v>26</v>
      </c>
      <c r="B27" s="9">
        <v>1021684117</v>
      </c>
      <c r="C27" s="9">
        <v>11</v>
      </c>
      <c r="D27" s="9" t="s">
        <v>11</v>
      </c>
      <c r="E27" s="8" t="s">
        <v>48</v>
      </c>
      <c r="F27" s="8" t="s">
        <v>70</v>
      </c>
      <c r="G27" s="8" t="s">
        <v>16</v>
      </c>
      <c r="H27" s="8" t="s">
        <v>67</v>
      </c>
      <c r="I27" s="22" t="s">
        <v>36</v>
      </c>
      <c r="J27" s="42">
        <v>0</v>
      </c>
      <c r="K27" s="42">
        <v>2</v>
      </c>
      <c r="L27" s="42" t="s">
        <v>139</v>
      </c>
      <c r="M27" s="42">
        <v>5</v>
      </c>
      <c r="N27" s="42" t="s">
        <v>181</v>
      </c>
      <c r="O27" s="49" t="s">
        <v>157</v>
      </c>
      <c r="P27" s="10" t="s">
        <v>158</v>
      </c>
      <c r="Q27" s="26">
        <v>3</v>
      </c>
    </row>
    <row r="28" spans="1:17" x14ac:dyDescent="0.25">
      <c r="A28" s="6">
        <v>27</v>
      </c>
      <c r="B28" s="9">
        <v>1092736045</v>
      </c>
      <c r="C28" s="9">
        <v>12</v>
      </c>
      <c r="D28" s="9" t="s">
        <v>11</v>
      </c>
      <c r="E28" s="8" t="s">
        <v>30</v>
      </c>
      <c r="F28" s="8" t="s">
        <v>45</v>
      </c>
      <c r="G28" s="8" t="s">
        <v>14</v>
      </c>
      <c r="H28" s="8" t="s">
        <v>15</v>
      </c>
      <c r="I28" s="22" t="s">
        <v>52</v>
      </c>
      <c r="J28" s="42">
        <v>-9</v>
      </c>
      <c r="K28" s="42">
        <v>3.5</v>
      </c>
      <c r="L28" s="42" t="s">
        <v>143</v>
      </c>
      <c r="M28" s="42">
        <v>2</v>
      </c>
      <c r="N28" s="42" t="s">
        <v>144</v>
      </c>
      <c r="O28" s="49" t="s">
        <v>155</v>
      </c>
      <c r="P28" s="10" t="s">
        <v>156</v>
      </c>
      <c r="Q28" s="26">
        <v>2</v>
      </c>
    </row>
    <row r="29" spans="1:17" x14ac:dyDescent="0.25">
      <c r="A29" s="6">
        <v>28</v>
      </c>
      <c r="B29" s="9">
        <v>1024540177</v>
      </c>
      <c r="C29" s="9">
        <v>11</v>
      </c>
      <c r="D29" s="9" t="s">
        <v>50</v>
      </c>
      <c r="E29" s="8" t="s">
        <v>89</v>
      </c>
      <c r="F29" s="8" t="s">
        <v>45</v>
      </c>
      <c r="G29" s="8" t="s">
        <v>20</v>
      </c>
      <c r="H29" s="8" t="s">
        <v>32</v>
      </c>
      <c r="I29" s="22" t="s">
        <v>22</v>
      </c>
      <c r="J29" s="42">
        <v>1</v>
      </c>
      <c r="K29" s="42">
        <v>2.5</v>
      </c>
      <c r="L29" s="42" t="s">
        <v>139</v>
      </c>
      <c r="M29" s="42">
        <v>6</v>
      </c>
      <c r="N29" s="42" t="s">
        <v>181</v>
      </c>
      <c r="O29" s="49" t="s">
        <v>157</v>
      </c>
      <c r="P29" s="10" t="s">
        <v>158</v>
      </c>
      <c r="Q29" s="26">
        <v>3</v>
      </c>
    </row>
    <row r="30" spans="1:17" x14ac:dyDescent="0.25">
      <c r="A30" s="6">
        <v>29</v>
      </c>
      <c r="B30" s="9">
        <v>1013655563</v>
      </c>
      <c r="C30" s="9">
        <v>10</v>
      </c>
      <c r="D30" s="9" t="s">
        <v>50</v>
      </c>
      <c r="E30" s="7" t="s">
        <v>19</v>
      </c>
      <c r="F30" s="7" t="s">
        <v>51</v>
      </c>
      <c r="G30" s="7" t="s">
        <v>16</v>
      </c>
      <c r="H30" s="7" t="s">
        <v>91</v>
      </c>
      <c r="I30" s="21" t="s">
        <v>20</v>
      </c>
      <c r="J30" s="10">
        <v>3</v>
      </c>
      <c r="K30" s="10">
        <v>5.5</v>
      </c>
      <c r="L30" s="10" t="s">
        <v>139</v>
      </c>
      <c r="M30" s="10">
        <v>5</v>
      </c>
      <c r="N30" s="10" t="s">
        <v>140</v>
      </c>
      <c r="O30" s="49" t="s">
        <v>141</v>
      </c>
      <c r="P30" s="10" t="s">
        <v>142</v>
      </c>
      <c r="Q30" s="26">
        <v>4</v>
      </c>
    </row>
    <row r="31" spans="1:17" x14ac:dyDescent="0.25">
      <c r="A31" s="6">
        <v>30</v>
      </c>
      <c r="B31" s="9">
        <v>1034297426</v>
      </c>
      <c r="C31" s="9">
        <v>13</v>
      </c>
      <c r="D31" s="9" t="s">
        <v>11</v>
      </c>
      <c r="E31" s="7" t="s">
        <v>63</v>
      </c>
      <c r="F31" s="7" t="s">
        <v>59</v>
      </c>
      <c r="G31" s="7" t="s">
        <v>22</v>
      </c>
      <c r="H31" s="7" t="s">
        <v>41</v>
      </c>
      <c r="I31" s="21" t="s">
        <v>16</v>
      </c>
      <c r="J31" s="10">
        <v>-12</v>
      </c>
      <c r="K31" s="10">
        <v>8</v>
      </c>
      <c r="L31" s="10" t="s">
        <v>143</v>
      </c>
      <c r="M31" s="10">
        <v>7</v>
      </c>
      <c r="N31" s="10" t="s">
        <v>166</v>
      </c>
      <c r="O31" s="49" t="s">
        <v>145</v>
      </c>
      <c r="P31" s="10" t="s">
        <v>146</v>
      </c>
      <c r="Q31" s="26">
        <v>1</v>
      </c>
    </row>
    <row r="32" spans="1:17" x14ac:dyDescent="0.25">
      <c r="A32" s="6">
        <v>31</v>
      </c>
      <c r="B32" s="9">
        <v>1034304138</v>
      </c>
      <c r="C32" s="9">
        <v>9</v>
      </c>
      <c r="D32" s="9" t="s">
        <v>50</v>
      </c>
      <c r="E32" s="7" t="s">
        <v>70</v>
      </c>
      <c r="F32" s="7" t="s">
        <v>76</v>
      </c>
      <c r="G32" s="7" t="s">
        <v>31</v>
      </c>
      <c r="H32" s="7" t="s">
        <v>32</v>
      </c>
      <c r="I32" s="21" t="s">
        <v>46</v>
      </c>
      <c r="J32" s="10">
        <v>9</v>
      </c>
      <c r="K32" s="10" t="s">
        <v>182</v>
      </c>
      <c r="L32" s="10" t="s">
        <v>139</v>
      </c>
      <c r="M32" s="10">
        <v>3</v>
      </c>
      <c r="N32" s="10" t="s">
        <v>181</v>
      </c>
      <c r="O32" s="49" t="s">
        <v>171</v>
      </c>
      <c r="P32" s="10" t="s">
        <v>172</v>
      </c>
      <c r="Q32" s="26">
        <v>5</v>
      </c>
    </row>
    <row r="33" spans="1:17" x14ac:dyDescent="0.25">
      <c r="A33" s="6">
        <v>32</v>
      </c>
      <c r="B33" s="9">
        <v>1033118854</v>
      </c>
      <c r="C33" s="9">
        <v>6</v>
      </c>
      <c r="D33" s="9" t="s">
        <v>50</v>
      </c>
      <c r="E33" s="7" t="s">
        <v>29</v>
      </c>
      <c r="F33" s="7" t="s">
        <v>76</v>
      </c>
      <c r="G33" s="7" t="s">
        <v>16</v>
      </c>
      <c r="H33" s="7" t="s">
        <v>95</v>
      </c>
      <c r="I33" s="21" t="s">
        <v>39</v>
      </c>
      <c r="J33" s="10">
        <v>12</v>
      </c>
      <c r="K33" s="10">
        <v>-2</v>
      </c>
      <c r="L33" s="10" t="s">
        <v>183</v>
      </c>
      <c r="M33" s="10">
        <v>5</v>
      </c>
      <c r="N33" s="10" t="s">
        <v>184</v>
      </c>
      <c r="O33" s="49" t="s">
        <v>177</v>
      </c>
      <c r="P33" s="10" t="s">
        <v>178</v>
      </c>
      <c r="Q33" s="26">
        <v>5</v>
      </c>
    </row>
    <row r="34" spans="1:17" x14ac:dyDescent="0.25">
      <c r="A34" s="6">
        <v>33</v>
      </c>
      <c r="B34" s="9">
        <v>1032680320</v>
      </c>
      <c r="C34" s="9">
        <v>14</v>
      </c>
      <c r="D34" s="9" t="s">
        <v>11</v>
      </c>
      <c r="E34" s="7" t="s">
        <v>44</v>
      </c>
      <c r="F34" s="7" t="s">
        <v>59</v>
      </c>
      <c r="G34" s="7" t="s">
        <v>14</v>
      </c>
      <c r="H34" s="7" t="s">
        <v>32</v>
      </c>
      <c r="I34" s="21" t="s">
        <v>36</v>
      </c>
      <c r="J34" s="10">
        <v>-5</v>
      </c>
      <c r="K34" s="10">
        <v>0.5</v>
      </c>
      <c r="L34" s="10" t="s">
        <v>143</v>
      </c>
      <c r="M34" s="10">
        <v>2</v>
      </c>
      <c r="N34" s="10" t="s">
        <v>161</v>
      </c>
      <c r="O34" s="49" t="s">
        <v>185</v>
      </c>
      <c r="P34" s="10" t="s">
        <v>186</v>
      </c>
      <c r="Q34" s="26">
        <v>2</v>
      </c>
    </row>
    <row r="35" spans="1:17" x14ac:dyDescent="0.25">
      <c r="A35" s="6">
        <v>34</v>
      </c>
      <c r="B35" s="9">
        <v>1028787375</v>
      </c>
      <c r="C35" s="9">
        <v>13</v>
      </c>
      <c r="D35" s="9" t="s">
        <v>11</v>
      </c>
      <c r="E35" s="7" t="s">
        <v>70</v>
      </c>
      <c r="F35" s="7" t="s">
        <v>13</v>
      </c>
      <c r="G35" s="7" t="s">
        <v>20</v>
      </c>
      <c r="H35" s="7" t="s">
        <v>91</v>
      </c>
      <c r="I35" s="21" t="s">
        <v>20</v>
      </c>
      <c r="J35" s="10">
        <v>11</v>
      </c>
      <c r="K35" s="10">
        <v>5.5</v>
      </c>
      <c r="L35" s="10" t="s">
        <v>183</v>
      </c>
      <c r="M35" s="10">
        <v>6</v>
      </c>
      <c r="N35" s="10" t="s">
        <v>187</v>
      </c>
      <c r="O35" s="49" t="s">
        <v>188</v>
      </c>
      <c r="P35" s="10" t="s">
        <v>189</v>
      </c>
      <c r="Q35" s="26">
        <v>1</v>
      </c>
    </row>
    <row r="36" spans="1:17" x14ac:dyDescent="0.25">
      <c r="A36" s="6">
        <v>35</v>
      </c>
      <c r="B36" s="9">
        <v>1030643798</v>
      </c>
      <c r="C36" s="9">
        <v>9</v>
      </c>
      <c r="D36" s="9" t="s">
        <v>11</v>
      </c>
      <c r="E36" s="7" t="s">
        <v>19</v>
      </c>
      <c r="F36" s="7" t="s">
        <v>51</v>
      </c>
      <c r="G36" s="7" t="s">
        <v>16</v>
      </c>
      <c r="H36" s="7" t="s">
        <v>32</v>
      </c>
      <c r="I36" s="21" t="s">
        <v>22</v>
      </c>
      <c r="J36" s="10">
        <v>7</v>
      </c>
      <c r="K36" s="10">
        <v>2.5</v>
      </c>
      <c r="L36" s="10" t="s">
        <v>183</v>
      </c>
      <c r="M36" s="10">
        <v>5</v>
      </c>
      <c r="N36" s="10" t="s">
        <v>190</v>
      </c>
      <c r="O36" s="49" t="s">
        <v>164</v>
      </c>
      <c r="P36" s="10" t="s">
        <v>165</v>
      </c>
      <c r="Q36" s="26">
        <v>5</v>
      </c>
    </row>
    <row r="37" spans="1:17" x14ac:dyDescent="0.25">
      <c r="A37" s="6">
        <v>36</v>
      </c>
      <c r="B37" s="9">
        <v>1016728400</v>
      </c>
      <c r="C37" s="9">
        <v>11</v>
      </c>
      <c r="D37" s="9" t="s">
        <v>50</v>
      </c>
      <c r="E37" s="8" t="s">
        <v>48</v>
      </c>
      <c r="F37" s="8" t="s">
        <v>45</v>
      </c>
      <c r="G37" s="8" t="s">
        <v>33</v>
      </c>
      <c r="H37" s="8" t="s">
        <v>67</v>
      </c>
      <c r="I37" s="22" t="s">
        <v>52</v>
      </c>
      <c r="J37" s="42">
        <v>-2</v>
      </c>
      <c r="K37" s="42">
        <v>0</v>
      </c>
      <c r="L37" s="42" t="s">
        <v>143</v>
      </c>
      <c r="M37" s="42">
        <v>4</v>
      </c>
      <c r="N37" s="42" t="s">
        <v>161</v>
      </c>
      <c r="O37" s="49" t="s">
        <v>162</v>
      </c>
      <c r="P37" s="10" t="s">
        <v>163</v>
      </c>
      <c r="Q37" s="26">
        <v>1</v>
      </c>
    </row>
    <row r="38" spans="1:17" x14ac:dyDescent="0.25">
      <c r="A38" s="6">
        <v>37</v>
      </c>
      <c r="B38" s="9">
        <v>1023899613</v>
      </c>
      <c r="C38" s="9">
        <v>14</v>
      </c>
      <c r="D38" s="9" t="s">
        <v>11</v>
      </c>
      <c r="E38" s="8" t="s">
        <v>18</v>
      </c>
      <c r="F38" s="8" t="s">
        <v>64</v>
      </c>
      <c r="G38" s="8" t="s">
        <v>26</v>
      </c>
      <c r="H38" s="8" t="s">
        <v>35</v>
      </c>
      <c r="I38" s="22" t="s">
        <v>20</v>
      </c>
      <c r="J38" s="42">
        <v>-22</v>
      </c>
      <c r="K38" s="42">
        <v>8</v>
      </c>
      <c r="L38" s="42" t="s">
        <v>143</v>
      </c>
      <c r="M38" s="42">
        <v>1</v>
      </c>
      <c r="N38" s="42" t="s">
        <v>144</v>
      </c>
      <c r="O38" s="49" t="s">
        <v>155</v>
      </c>
      <c r="P38" s="10" t="s">
        <v>156</v>
      </c>
      <c r="Q38" s="26">
        <v>2</v>
      </c>
    </row>
    <row r="39" spans="1:17" x14ac:dyDescent="0.25">
      <c r="A39" s="6">
        <v>38</v>
      </c>
      <c r="B39" s="9">
        <v>1033731933</v>
      </c>
      <c r="C39" s="9">
        <v>13</v>
      </c>
      <c r="D39" s="9" t="s">
        <v>11</v>
      </c>
      <c r="E39" s="8" t="s">
        <v>70</v>
      </c>
      <c r="F39" s="8" t="s">
        <v>12</v>
      </c>
      <c r="G39" s="8" t="s">
        <v>33</v>
      </c>
      <c r="H39" s="8" t="s">
        <v>102</v>
      </c>
      <c r="I39" s="22" t="s">
        <v>103</v>
      </c>
      <c r="J39" s="42">
        <v>-2</v>
      </c>
      <c r="K39" s="42">
        <v>1</v>
      </c>
      <c r="L39" s="42" t="s">
        <v>143</v>
      </c>
      <c r="M39" s="42">
        <v>4</v>
      </c>
      <c r="N39" s="42" t="s">
        <v>161</v>
      </c>
      <c r="O39" s="49" t="s">
        <v>162</v>
      </c>
      <c r="P39" s="10" t="s">
        <v>191</v>
      </c>
      <c r="Q39" s="26">
        <v>1</v>
      </c>
    </row>
    <row r="40" spans="1:17" x14ac:dyDescent="0.25">
      <c r="A40" s="6">
        <v>39</v>
      </c>
      <c r="B40" s="9">
        <v>1012921933</v>
      </c>
      <c r="C40" s="9">
        <v>10</v>
      </c>
      <c r="D40" s="9" t="s">
        <v>11</v>
      </c>
      <c r="E40" s="8" t="s">
        <v>48</v>
      </c>
      <c r="F40" s="8" t="s">
        <v>19</v>
      </c>
      <c r="G40" s="8" t="s">
        <v>14</v>
      </c>
      <c r="H40" s="8" t="s">
        <v>91</v>
      </c>
      <c r="I40" s="22" t="s">
        <v>22</v>
      </c>
      <c r="J40" s="42">
        <v>-7</v>
      </c>
      <c r="K40" s="42">
        <v>4.5</v>
      </c>
      <c r="L40" s="42" t="s">
        <v>143</v>
      </c>
      <c r="M40" s="42">
        <v>2</v>
      </c>
      <c r="N40" s="42" t="s">
        <v>144</v>
      </c>
      <c r="O40" s="49" t="s">
        <v>155</v>
      </c>
      <c r="P40" s="10" t="s">
        <v>156</v>
      </c>
      <c r="Q40" s="26">
        <v>2</v>
      </c>
    </row>
    <row r="41" spans="1:17" x14ac:dyDescent="0.25">
      <c r="A41" s="6">
        <v>40</v>
      </c>
      <c r="B41" s="9">
        <v>1013127220</v>
      </c>
      <c r="C41" s="9">
        <v>12</v>
      </c>
      <c r="D41" s="9" t="s">
        <v>11</v>
      </c>
      <c r="E41" s="8" t="s">
        <v>83</v>
      </c>
      <c r="F41" s="8" t="s">
        <v>64</v>
      </c>
      <c r="G41" s="8" t="s">
        <v>14</v>
      </c>
      <c r="H41" s="8" t="s">
        <v>67</v>
      </c>
      <c r="I41" s="22" t="s">
        <v>20</v>
      </c>
      <c r="J41" s="42">
        <v>-16</v>
      </c>
      <c r="K41" s="42">
        <v>5</v>
      </c>
      <c r="L41" s="42" t="s">
        <v>143</v>
      </c>
      <c r="M41" s="42">
        <v>2</v>
      </c>
      <c r="N41" s="42" t="s">
        <v>144</v>
      </c>
      <c r="O41" s="49" t="s">
        <v>155</v>
      </c>
      <c r="P41" s="10" t="s">
        <v>156</v>
      </c>
      <c r="Q41" s="26">
        <v>2</v>
      </c>
    </row>
    <row r="42" spans="1:17" x14ac:dyDescent="0.25">
      <c r="A42" s="6">
        <v>41</v>
      </c>
      <c r="B42" s="9">
        <v>1028789428</v>
      </c>
      <c r="C42" s="9">
        <v>9</v>
      </c>
      <c r="D42" s="9" t="s">
        <v>11</v>
      </c>
      <c r="E42" s="8" t="s">
        <v>44</v>
      </c>
      <c r="F42" s="8" t="s">
        <v>29</v>
      </c>
      <c r="G42" s="8" t="s">
        <v>33</v>
      </c>
      <c r="H42" s="8" t="s">
        <v>107</v>
      </c>
      <c r="I42" s="22" t="s">
        <v>42</v>
      </c>
      <c r="J42" s="42">
        <v>-6</v>
      </c>
      <c r="K42" s="42">
        <v>-2</v>
      </c>
      <c r="L42" s="42" t="s">
        <v>143</v>
      </c>
      <c r="M42" s="42">
        <v>4</v>
      </c>
      <c r="N42" s="42" t="s">
        <v>166</v>
      </c>
      <c r="O42" s="49" t="s">
        <v>167</v>
      </c>
      <c r="P42" s="10" t="s">
        <v>192</v>
      </c>
      <c r="Q42" s="26">
        <v>1</v>
      </c>
    </row>
    <row r="43" spans="1:17" x14ac:dyDescent="0.25">
      <c r="A43" s="6">
        <v>42</v>
      </c>
      <c r="B43" s="9">
        <v>1140922601</v>
      </c>
      <c r="C43" s="9">
        <v>13</v>
      </c>
      <c r="D43" s="9" t="s">
        <v>69</v>
      </c>
      <c r="E43" s="8" t="s">
        <v>51</v>
      </c>
      <c r="F43" s="8" t="s">
        <v>76</v>
      </c>
      <c r="G43" s="8" t="s">
        <v>26</v>
      </c>
      <c r="H43" s="8" t="s">
        <v>15</v>
      </c>
      <c r="I43" s="22" t="s">
        <v>22</v>
      </c>
      <c r="J43" s="42">
        <v>-1</v>
      </c>
      <c r="K43" s="42">
        <v>7.5</v>
      </c>
      <c r="L43" s="42" t="s">
        <v>143</v>
      </c>
      <c r="M43" s="42">
        <v>1</v>
      </c>
      <c r="N43" s="42" t="s">
        <v>144</v>
      </c>
      <c r="O43" s="49" t="s">
        <v>155</v>
      </c>
      <c r="P43" s="10" t="s">
        <v>156</v>
      </c>
      <c r="Q43" s="26">
        <v>2</v>
      </c>
    </row>
    <row r="44" spans="1:17" x14ac:dyDescent="0.25">
      <c r="A44" s="6">
        <v>43</v>
      </c>
      <c r="B44" s="9">
        <v>1023951613</v>
      </c>
      <c r="C44" s="9">
        <v>9</v>
      </c>
      <c r="D44" s="9" t="s">
        <v>50</v>
      </c>
      <c r="E44" s="8" t="s">
        <v>29</v>
      </c>
      <c r="F44" s="8" t="s">
        <v>51</v>
      </c>
      <c r="G44" s="8" t="s">
        <v>33</v>
      </c>
      <c r="H44" s="8" t="s">
        <v>35</v>
      </c>
      <c r="I44" s="22" t="s">
        <v>36</v>
      </c>
      <c r="J44" s="42">
        <v>-2</v>
      </c>
      <c r="K44" s="42">
        <v>5</v>
      </c>
      <c r="L44" s="42" t="s">
        <v>143</v>
      </c>
      <c r="M44" s="42">
        <v>4</v>
      </c>
      <c r="N44" s="42" t="s">
        <v>144</v>
      </c>
      <c r="O44" s="49" t="s">
        <v>155</v>
      </c>
      <c r="P44" s="10" t="s">
        <v>156</v>
      </c>
      <c r="Q44" s="26">
        <v>2</v>
      </c>
    </row>
    <row r="45" spans="1:17" x14ac:dyDescent="0.25">
      <c r="A45" s="6">
        <v>44</v>
      </c>
      <c r="B45" s="9">
        <v>1025546266</v>
      </c>
      <c r="C45" s="9">
        <v>12</v>
      </c>
      <c r="D45" s="9" t="s">
        <v>69</v>
      </c>
      <c r="E45" s="8" t="s">
        <v>48</v>
      </c>
      <c r="F45" s="8" t="s">
        <v>70</v>
      </c>
      <c r="G45" s="8" t="s">
        <v>16</v>
      </c>
      <c r="H45" s="8" t="s">
        <v>15</v>
      </c>
      <c r="I45" s="22" t="s">
        <v>42</v>
      </c>
      <c r="J45" s="42">
        <v>-7</v>
      </c>
      <c r="K45" s="42">
        <v>0.5</v>
      </c>
      <c r="L45" s="42" t="s">
        <v>143</v>
      </c>
      <c r="M45" s="42">
        <v>5</v>
      </c>
      <c r="N45" s="42" t="s">
        <v>161</v>
      </c>
      <c r="O45" s="49" t="s">
        <v>162</v>
      </c>
      <c r="P45" s="10" t="s">
        <v>191</v>
      </c>
      <c r="Q45" s="26">
        <v>1</v>
      </c>
    </row>
    <row r="46" spans="1:17" x14ac:dyDescent="0.25">
      <c r="A46" s="6">
        <v>45</v>
      </c>
      <c r="B46" s="9">
        <v>1028498679</v>
      </c>
      <c r="C46" s="9">
        <v>9</v>
      </c>
      <c r="D46" s="9" t="s">
        <v>69</v>
      </c>
      <c r="E46" s="8" t="s">
        <v>112</v>
      </c>
      <c r="F46" s="8" t="s">
        <v>113</v>
      </c>
      <c r="G46" s="8" t="s">
        <v>31</v>
      </c>
      <c r="H46" s="8" t="s">
        <v>114</v>
      </c>
      <c r="I46" s="22" t="s">
        <v>52</v>
      </c>
      <c r="J46" s="42">
        <v>13</v>
      </c>
      <c r="K46" s="42">
        <v>7.5</v>
      </c>
      <c r="L46" s="42" t="s">
        <v>183</v>
      </c>
      <c r="M46" s="42">
        <v>3</v>
      </c>
      <c r="N46" s="42" t="s">
        <v>187</v>
      </c>
      <c r="O46" s="49" t="s">
        <v>169</v>
      </c>
      <c r="P46" s="10" t="s">
        <v>170</v>
      </c>
      <c r="Q46" s="26">
        <v>5</v>
      </c>
    </row>
    <row r="47" spans="1:17" x14ac:dyDescent="0.25">
      <c r="A47" s="6">
        <v>46</v>
      </c>
      <c r="B47" s="9">
        <v>1032799712</v>
      </c>
      <c r="C47" s="9">
        <v>13</v>
      </c>
      <c r="D47" s="9" t="s">
        <v>69</v>
      </c>
      <c r="E47" s="8" t="s">
        <v>89</v>
      </c>
      <c r="F47" s="8" t="s">
        <v>19</v>
      </c>
      <c r="G47" s="8" t="s">
        <v>33</v>
      </c>
      <c r="H47" s="8" t="s">
        <v>55</v>
      </c>
      <c r="I47" s="22" t="s">
        <v>116</v>
      </c>
      <c r="J47" s="42">
        <v>-14</v>
      </c>
      <c r="K47" s="42">
        <v>3</v>
      </c>
      <c r="L47" s="42" t="s">
        <v>143</v>
      </c>
      <c r="M47" s="42">
        <v>4</v>
      </c>
      <c r="N47" s="42" t="s">
        <v>161</v>
      </c>
      <c r="O47" s="49" t="s">
        <v>162</v>
      </c>
      <c r="P47" s="10" t="s">
        <v>191</v>
      </c>
      <c r="Q47" s="26">
        <v>1</v>
      </c>
    </row>
    <row r="48" spans="1:17" x14ac:dyDescent="0.25">
      <c r="A48" s="6">
        <v>47</v>
      </c>
      <c r="B48" s="9">
        <v>1019766976</v>
      </c>
      <c r="C48" s="9">
        <v>9</v>
      </c>
      <c r="D48" s="9" t="s">
        <v>50</v>
      </c>
      <c r="E48" s="8" t="s">
        <v>76</v>
      </c>
      <c r="F48" s="8" t="s">
        <v>84</v>
      </c>
      <c r="G48" s="8" t="s">
        <v>14</v>
      </c>
      <c r="H48" s="8" t="s">
        <v>38</v>
      </c>
      <c r="I48" s="22" t="s">
        <v>116</v>
      </c>
      <c r="J48" s="42">
        <v>5</v>
      </c>
      <c r="K48" s="42">
        <v>1.5</v>
      </c>
      <c r="L48" s="42" t="s">
        <v>139</v>
      </c>
      <c r="M48" s="42">
        <v>2</v>
      </c>
      <c r="N48" s="42" t="s">
        <v>181</v>
      </c>
      <c r="O48" s="49" t="s">
        <v>193</v>
      </c>
      <c r="P48" s="10" t="s">
        <v>194</v>
      </c>
      <c r="Q48" s="26">
        <v>4</v>
      </c>
    </row>
    <row r="49" spans="1:18" x14ac:dyDescent="0.25">
      <c r="A49" s="6">
        <v>48</v>
      </c>
      <c r="B49" s="9">
        <v>1027402287</v>
      </c>
      <c r="C49" s="9">
        <v>14</v>
      </c>
      <c r="D49" s="9" t="s">
        <v>50</v>
      </c>
      <c r="E49" s="8" t="s">
        <v>45</v>
      </c>
      <c r="F49" s="8" t="s">
        <v>51</v>
      </c>
      <c r="G49" s="8" t="s">
        <v>31</v>
      </c>
      <c r="H49" s="8" t="s">
        <v>65</v>
      </c>
      <c r="I49" s="22" t="s">
        <v>52</v>
      </c>
      <c r="J49" s="42">
        <v>6</v>
      </c>
      <c r="K49" s="42">
        <v>-1</v>
      </c>
      <c r="L49" s="42" t="s">
        <v>139</v>
      </c>
      <c r="M49" s="42">
        <v>3</v>
      </c>
      <c r="N49" s="42" t="s">
        <v>152</v>
      </c>
      <c r="O49" s="49" t="s">
        <v>195</v>
      </c>
      <c r="P49" s="10" t="s">
        <v>196</v>
      </c>
      <c r="Q49" s="26">
        <v>4</v>
      </c>
    </row>
    <row r="50" spans="1:18" x14ac:dyDescent="0.25">
      <c r="A50" s="6">
        <v>49</v>
      </c>
      <c r="B50" s="9">
        <v>1028786179</v>
      </c>
      <c r="C50" s="9">
        <v>14</v>
      </c>
      <c r="D50" s="9" t="s">
        <v>11</v>
      </c>
      <c r="E50" s="8" t="s">
        <v>70</v>
      </c>
      <c r="F50" s="8" t="s">
        <v>59</v>
      </c>
      <c r="G50" s="8" t="s">
        <v>120</v>
      </c>
      <c r="H50" s="8" t="s">
        <v>65</v>
      </c>
      <c r="I50" s="22" t="s">
        <v>42</v>
      </c>
      <c r="J50" s="42">
        <v>-6</v>
      </c>
      <c r="K50" s="42">
        <v>-4</v>
      </c>
      <c r="L50" s="42" t="s">
        <v>143</v>
      </c>
      <c r="M50" s="42">
        <v>-4</v>
      </c>
      <c r="N50" s="42" t="s">
        <v>166</v>
      </c>
      <c r="O50" s="49" t="s">
        <v>197</v>
      </c>
      <c r="P50" s="10" t="s">
        <v>198</v>
      </c>
      <c r="Q50" s="26">
        <v>5</v>
      </c>
    </row>
    <row r="51" spans="1:18" x14ac:dyDescent="0.25">
      <c r="A51" s="11">
        <v>50</v>
      </c>
      <c r="B51" s="12">
        <v>1028683894</v>
      </c>
      <c r="C51" s="12">
        <v>7</v>
      </c>
      <c r="D51" s="12" t="s">
        <v>11</v>
      </c>
      <c r="E51" s="41" t="s">
        <v>29</v>
      </c>
      <c r="F51" s="41" t="s">
        <v>51</v>
      </c>
      <c r="G51" s="41" t="s">
        <v>33</v>
      </c>
      <c r="H51" s="41" t="s">
        <v>55</v>
      </c>
      <c r="I51" s="51" t="s">
        <v>39</v>
      </c>
      <c r="J51" s="42">
        <v>-4</v>
      </c>
      <c r="K51" s="42">
        <v>5</v>
      </c>
      <c r="L51" s="42" t="s">
        <v>143</v>
      </c>
      <c r="M51" s="42">
        <v>4</v>
      </c>
      <c r="N51" s="42" t="s">
        <v>144</v>
      </c>
      <c r="O51" s="49" t="s">
        <v>155</v>
      </c>
      <c r="P51" s="10" t="s">
        <v>156</v>
      </c>
      <c r="Q51" s="26">
        <v>2</v>
      </c>
    </row>
    <row r="52" spans="1:18" x14ac:dyDescent="0.25">
      <c r="A52" s="14">
        <v>51</v>
      </c>
      <c r="B52" s="15">
        <v>1014740128</v>
      </c>
      <c r="C52" s="15">
        <v>12</v>
      </c>
      <c r="D52" s="15" t="s">
        <v>11</v>
      </c>
      <c r="E52" s="10" t="s">
        <v>59</v>
      </c>
      <c r="F52" s="10" t="s">
        <v>29</v>
      </c>
      <c r="G52" s="10" t="s">
        <v>14</v>
      </c>
      <c r="H52" s="10" t="s">
        <v>102</v>
      </c>
      <c r="I52" s="23" t="s">
        <v>71</v>
      </c>
      <c r="J52" s="10">
        <v>-14</v>
      </c>
      <c r="K52" s="10">
        <v>0</v>
      </c>
      <c r="L52" s="10" t="s">
        <v>143</v>
      </c>
      <c r="M52" s="10">
        <v>2</v>
      </c>
      <c r="N52" s="10" t="s">
        <v>161</v>
      </c>
      <c r="O52" s="49" t="s">
        <v>185</v>
      </c>
      <c r="P52" s="10" t="s">
        <v>186</v>
      </c>
      <c r="Q52" s="26">
        <v>2</v>
      </c>
    </row>
    <row r="53" spans="1:18" x14ac:dyDescent="0.25">
      <c r="A53" s="14">
        <v>52</v>
      </c>
      <c r="B53" s="15">
        <v>1014596769</v>
      </c>
      <c r="C53" s="15">
        <v>14</v>
      </c>
      <c r="D53" s="15" t="s">
        <v>69</v>
      </c>
      <c r="E53" s="10" t="s">
        <v>59</v>
      </c>
      <c r="F53" s="10" t="s">
        <v>18</v>
      </c>
      <c r="G53" s="32" t="s">
        <v>16</v>
      </c>
      <c r="H53" s="10" t="s">
        <v>65</v>
      </c>
      <c r="I53" s="46" t="s">
        <v>22</v>
      </c>
      <c r="J53" s="10">
        <v>-16</v>
      </c>
      <c r="K53" s="10">
        <v>3</v>
      </c>
      <c r="L53" s="10" t="s">
        <v>143</v>
      </c>
      <c r="M53" s="10">
        <v>5</v>
      </c>
      <c r="N53" s="10" t="s">
        <v>144</v>
      </c>
      <c r="O53" s="49" t="s">
        <v>164</v>
      </c>
      <c r="P53" s="10" t="s">
        <v>165</v>
      </c>
      <c r="Q53" s="26">
        <v>2</v>
      </c>
    </row>
    <row r="54" spans="1:18" x14ac:dyDescent="0.25">
      <c r="A54" s="14">
        <v>53</v>
      </c>
      <c r="B54" s="15">
        <v>1029290305</v>
      </c>
      <c r="C54" s="15">
        <v>9</v>
      </c>
      <c r="D54" s="15" t="s">
        <v>69</v>
      </c>
      <c r="E54" s="10" t="s">
        <v>89</v>
      </c>
      <c r="F54" s="10" t="s">
        <v>70</v>
      </c>
      <c r="G54" s="10" t="s">
        <v>22</v>
      </c>
      <c r="H54" s="10" t="s">
        <v>65</v>
      </c>
      <c r="I54" s="23" t="s">
        <v>20</v>
      </c>
      <c r="J54" s="10">
        <v>2</v>
      </c>
      <c r="K54" s="10">
        <v>1</v>
      </c>
      <c r="L54" s="10" t="s">
        <v>139</v>
      </c>
      <c r="M54" s="10">
        <v>7</v>
      </c>
      <c r="N54" s="10" t="s">
        <v>140</v>
      </c>
      <c r="O54" s="49" t="s">
        <v>157</v>
      </c>
      <c r="P54" s="10" t="s">
        <v>158</v>
      </c>
      <c r="Q54" s="26">
        <v>2</v>
      </c>
    </row>
    <row r="55" spans="1:18" x14ac:dyDescent="0.25">
      <c r="A55" s="16">
        <v>54</v>
      </c>
      <c r="B55" s="17">
        <v>1027528232</v>
      </c>
      <c r="C55" s="17">
        <v>13</v>
      </c>
      <c r="D55" s="17" t="s">
        <v>50</v>
      </c>
      <c r="E55" s="18" t="s">
        <v>44</v>
      </c>
      <c r="F55" s="18" t="s">
        <v>29</v>
      </c>
      <c r="G55" s="18" t="s">
        <v>33</v>
      </c>
      <c r="H55" s="18" t="s">
        <v>21</v>
      </c>
      <c r="I55" s="47" t="s">
        <v>46</v>
      </c>
      <c r="J55" s="10">
        <v>3</v>
      </c>
      <c r="K55" s="10">
        <v>5</v>
      </c>
      <c r="L55" s="10" t="s">
        <v>139</v>
      </c>
      <c r="M55" s="10">
        <v>4</v>
      </c>
      <c r="N55" s="10" t="s">
        <v>140</v>
      </c>
      <c r="O55" s="50" t="s">
        <v>141</v>
      </c>
      <c r="P55" s="10" t="s">
        <v>142</v>
      </c>
      <c r="Q55" s="30">
        <v>2</v>
      </c>
      <c r="R55" s="28"/>
    </row>
    <row r="56" spans="1:18" x14ac:dyDescent="0.25">
      <c r="A56" s="6">
        <v>55</v>
      </c>
      <c r="B56" s="9">
        <v>1034782323</v>
      </c>
      <c r="C56" s="9">
        <v>9</v>
      </c>
      <c r="D56" s="9" t="s">
        <v>69</v>
      </c>
      <c r="E56" s="7" t="s">
        <v>45</v>
      </c>
      <c r="F56" s="7" t="s">
        <v>76</v>
      </c>
      <c r="G56" s="7" t="s">
        <v>33</v>
      </c>
      <c r="H56" s="7" t="s">
        <v>127</v>
      </c>
      <c r="I56" s="21" t="s">
        <v>22</v>
      </c>
      <c r="J56" s="10">
        <v>11</v>
      </c>
      <c r="K56" s="10">
        <v>7.5</v>
      </c>
      <c r="L56" s="10" t="s">
        <v>183</v>
      </c>
      <c r="M56" s="10">
        <v>7</v>
      </c>
      <c r="N56" s="10" t="s">
        <v>187</v>
      </c>
      <c r="O56" s="49" t="s">
        <v>188</v>
      </c>
      <c r="P56" s="10" t="s">
        <v>170</v>
      </c>
      <c r="Q56" s="26">
        <v>4</v>
      </c>
    </row>
    <row r="57" spans="1:18" x14ac:dyDescent="0.25">
      <c r="O57" s="1"/>
      <c r="P57" s="1"/>
      <c r="Q57"/>
      <c r="R57"/>
    </row>
    <row r="58" spans="1:18" x14ac:dyDescent="0.25">
      <c r="O58" s="1"/>
      <c r="P58" s="1"/>
      <c r="Q58"/>
      <c r="R58"/>
    </row>
    <row r="59" spans="1:18" x14ac:dyDescent="0.25">
      <c r="O59" s="1"/>
      <c r="P59" s="1"/>
      <c r="Q59"/>
      <c r="R59"/>
    </row>
    <row r="60" spans="1:18" x14ac:dyDescent="0.25">
      <c r="O60" s="1"/>
      <c r="P60" s="1"/>
      <c r="Q60"/>
      <c r="R60"/>
    </row>
    <row r="61" spans="1:18" x14ac:dyDescent="0.25">
      <c r="O61" s="1"/>
      <c r="P61" s="1"/>
      <c r="Q61"/>
      <c r="R61"/>
    </row>
    <row r="62" spans="1:18" x14ac:dyDescent="0.25">
      <c r="O62" s="1"/>
      <c r="P62" s="1"/>
      <c r="Q62"/>
      <c r="R62"/>
    </row>
    <row r="63" spans="1:18" x14ac:dyDescent="0.25">
      <c r="O63" s="1"/>
      <c r="P63" s="1"/>
      <c r="Q63"/>
      <c r="R63"/>
    </row>
    <row r="64" spans="1:18" x14ac:dyDescent="0.25">
      <c r="O64" s="1"/>
      <c r="P64" s="1"/>
      <c r="Q64"/>
      <c r="R64"/>
    </row>
    <row r="65" spans="15:18" x14ac:dyDescent="0.25">
      <c r="O65" s="1"/>
      <c r="P65" s="1"/>
      <c r="Q65"/>
      <c r="R65"/>
    </row>
    <row r="66" spans="15:18" x14ac:dyDescent="0.25">
      <c r="O66" s="1"/>
      <c r="P66" s="1"/>
      <c r="Q66"/>
      <c r="R66"/>
    </row>
    <row r="67" spans="15:18" x14ac:dyDescent="0.25">
      <c r="O67" s="1"/>
      <c r="P67" s="1"/>
      <c r="Q67"/>
      <c r="R67"/>
    </row>
    <row r="68" spans="15:18" x14ac:dyDescent="0.25">
      <c r="O68" s="1"/>
      <c r="P68" s="1"/>
      <c r="Q68"/>
      <c r="R68"/>
    </row>
    <row r="69" spans="15:18" x14ac:dyDescent="0.25">
      <c r="O69" s="1"/>
      <c r="P69" s="1"/>
      <c r="Q69"/>
      <c r="R69"/>
    </row>
    <row r="70" spans="15:18" x14ac:dyDescent="0.25">
      <c r="O70" s="1"/>
      <c r="P70" s="1"/>
      <c r="Q70"/>
      <c r="R70"/>
    </row>
    <row r="71" spans="15:18" x14ac:dyDescent="0.25">
      <c r="O71" s="1"/>
      <c r="P71" s="1"/>
      <c r="Q71"/>
      <c r="R71"/>
    </row>
    <row r="72" spans="15:18" x14ac:dyDescent="0.25">
      <c r="O72" s="1"/>
      <c r="P72" s="1"/>
      <c r="Q72"/>
      <c r="R72"/>
    </row>
    <row r="73" spans="15:18" x14ac:dyDescent="0.25">
      <c r="O73" s="1"/>
      <c r="P73" s="1"/>
      <c r="Q73"/>
      <c r="R73"/>
    </row>
    <row r="74" spans="15:18" x14ac:dyDescent="0.25">
      <c r="O74" s="1"/>
      <c r="P74" s="1"/>
      <c r="Q74"/>
      <c r="R74"/>
    </row>
    <row r="75" spans="15:18" x14ac:dyDescent="0.25">
      <c r="O75" s="1"/>
      <c r="P75" s="1"/>
      <c r="Q75"/>
      <c r="R75"/>
    </row>
    <row r="76" spans="15:18" x14ac:dyDescent="0.25">
      <c r="O76" s="1"/>
      <c r="P76" s="1"/>
      <c r="Q76"/>
      <c r="R76"/>
    </row>
    <row r="77" spans="15:18" x14ac:dyDescent="0.25">
      <c r="O77" s="1"/>
      <c r="P77" s="1"/>
      <c r="Q77"/>
      <c r="R77"/>
    </row>
    <row r="78" spans="15:18" x14ac:dyDescent="0.25">
      <c r="O78" s="1"/>
      <c r="P78" s="1"/>
      <c r="Q78"/>
      <c r="R78"/>
    </row>
    <row r="79" spans="15:18" x14ac:dyDescent="0.25">
      <c r="O79" s="1"/>
      <c r="P79" s="1"/>
      <c r="Q79"/>
      <c r="R79"/>
    </row>
    <row r="80" spans="15:18" x14ac:dyDescent="0.25">
      <c r="O80" s="1"/>
      <c r="P80" s="1"/>
      <c r="Q80"/>
      <c r="R80"/>
    </row>
    <row r="81" spans="15:18" x14ac:dyDescent="0.25">
      <c r="O81" s="1"/>
      <c r="P81" s="1"/>
      <c r="Q81"/>
      <c r="R81"/>
    </row>
    <row r="82" spans="15:18" x14ac:dyDescent="0.25">
      <c r="O82" s="1"/>
      <c r="P82" s="1"/>
      <c r="Q82"/>
      <c r="R82"/>
    </row>
    <row r="83" spans="15:18" x14ac:dyDescent="0.25">
      <c r="O83" s="1"/>
      <c r="P83" s="1"/>
      <c r="Q83"/>
      <c r="R83"/>
    </row>
    <row r="84" spans="15:18" x14ac:dyDescent="0.25">
      <c r="O84" s="1"/>
      <c r="P84" s="1"/>
      <c r="Q84"/>
      <c r="R84"/>
    </row>
    <row r="85" spans="15:18" x14ac:dyDescent="0.25">
      <c r="O85" s="1"/>
      <c r="P85" s="1"/>
      <c r="Q85"/>
      <c r="R85"/>
    </row>
    <row r="86" spans="15:18" x14ac:dyDescent="0.25">
      <c r="O86" s="1"/>
      <c r="P86" s="1"/>
      <c r="Q86"/>
      <c r="R86"/>
    </row>
    <row r="87" spans="15:18" x14ac:dyDescent="0.25">
      <c r="O87" s="1"/>
      <c r="P87" s="1"/>
      <c r="Q87"/>
      <c r="R87"/>
    </row>
    <row r="88" spans="15:18" x14ac:dyDescent="0.25">
      <c r="O88" s="1"/>
      <c r="P88" s="1"/>
      <c r="Q88"/>
      <c r="R88"/>
    </row>
    <row r="89" spans="15:18" x14ac:dyDescent="0.25">
      <c r="O89" s="1"/>
      <c r="P89" s="1"/>
      <c r="Q89"/>
      <c r="R89"/>
    </row>
    <row r="90" spans="15:18" x14ac:dyDescent="0.25">
      <c r="O90" s="1"/>
      <c r="P90" s="1"/>
      <c r="Q90"/>
      <c r="R90"/>
    </row>
    <row r="91" spans="15:18" x14ac:dyDescent="0.25">
      <c r="O91" s="1"/>
      <c r="P91" s="1"/>
      <c r="Q91"/>
      <c r="R91"/>
    </row>
    <row r="92" spans="15:18" x14ac:dyDescent="0.25">
      <c r="O92" s="1"/>
      <c r="P92" s="1"/>
      <c r="Q92"/>
      <c r="R92"/>
    </row>
    <row r="93" spans="15:18" x14ac:dyDescent="0.25">
      <c r="O93" s="1"/>
      <c r="P93" s="1"/>
      <c r="Q93"/>
      <c r="R93"/>
    </row>
    <row r="94" spans="15:18" x14ac:dyDescent="0.25">
      <c r="O94" s="1"/>
      <c r="P94" s="1"/>
      <c r="Q94"/>
      <c r="R94"/>
    </row>
    <row r="95" spans="15:18" x14ac:dyDescent="0.25">
      <c r="O95" s="1"/>
      <c r="P95" s="1"/>
      <c r="Q95"/>
      <c r="R95"/>
    </row>
    <row r="96" spans="15:18" x14ac:dyDescent="0.25">
      <c r="O96" s="1"/>
      <c r="P96" s="1"/>
      <c r="Q96"/>
      <c r="R96"/>
    </row>
    <row r="97" spans="15:18" x14ac:dyDescent="0.25">
      <c r="O97" s="1"/>
      <c r="P97" s="1"/>
      <c r="Q97"/>
      <c r="R97"/>
    </row>
    <row r="98" spans="15:18" x14ac:dyDescent="0.25">
      <c r="O98" s="1"/>
      <c r="P98" s="1"/>
      <c r="Q98"/>
      <c r="R98"/>
    </row>
    <row r="99" spans="15:18" x14ac:dyDescent="0.25">
      <c r="O99" s="1"/>
      <c r="P99" s="1"/>
      <c r="Q99"/>
      <c r="R99"/>
    </row>
    <row r="100" spans="15:18" x14ac:dyDescent="0.25">
      <c r="O100" s="1"/>
      <c r="P100" s="1"/>
      <c r="Q100"/>
      <c r="R100"/>
    </row>
    <row r="101" spans="15:18" x14ac:dyDescent="0.25">
      <c r="O101" s="1"/>
      <c r="P101" s="1"/>
      <c r="Q101"/>
      <c r="R101"/>
    </row>
    <row r="102" spans="15:18" x14ac:dyDescent="0.25">
      <c r="O102" s="1"/>
      <c r="P102" s="1"/>
      <c r="Q102"/>
      <c r="R102"/>
    </row>
    <row r="103" spans="15:18" x14ac:dyDescent="0.25">
      <c r="O103" s="1"/>
      <c r="P103" s="1"/>
      <c r="Q103"/>
      <c r="R103"/>
    </row>
    <row r="104" spans="15:18" x14ac:dyDescent="0.25">
      <c r="O104" s="1"/>
      <c r="P104" s="1"/>
      <c r="Q104"/>
      <c r="R104"/>
    </row>
    <row r="105" spans="15:18" x14ac:dyDescent="0.25">
      <c r="O105" s="1"/>
      <c r="P105" s="1"/>
      <c r="Q105"/>
      <c r="R105"/>
    </row>
    <row r="106" spans="15:18" x14ac:dyDescent="0.25">
      <c r="O106" s="1"/>
      <c r="P106" s="1"/>
      <c r="Q106"/>
      <c r="R106"/>
    </row>
    <row r="107" spans="15:18" x14ac:dyDescent="0.25">
      <c r="O107" s="1"/>
      <c r="P107" s="1"/>
      <c r="Q107"/>
      <c r="R107"/>
    </row>
    <row r="108" spans="15:18" x14ac:dyDescent="0.25">
      <c r="O108" s="1"/>
      <c r="P108" s="1"/>
      <c r="Q108"/>
      <c r="R108"/>
    </row>
    <row r="109" spans="15:18" x14ac:dyDescent="0.25">
      <c r="O109" s="1"/>
      <c r="P109" s="1"/>
      <c r="Q109"/>
      <c r="R109"/>
    </row>
    <row r="110" spans="15:18" x14ac:dyDescent="0.25">
      <c r="O110" s="1"/>
      <c r="P110" s="1"/>
      <c r="Q110"/>
      <c r="R110"/>
    </row>
    <row r="111" spans="15:18" x14ac:dyDescent="0.25">
      <c r="O111" s="1"/>
      <c r="P111" s="1"/>
      <c r="Q111"/>
      <c r="R111"/>
    </row>
    <row r="112" spans="15:18" x14ac:dyDescent="0.25">
      <c r="O112" s="1"/>
      <c r="P112" s="1"/>
      <c r="Q112"/>
      <c r="R112"/>
    </row>
    <row r="113" spans="15:18" x14ac:dyDescent="0.25">
      <c r="O113" s="1"/>
      <c r="P113" s="1"/>
      <c r="Q113"/>
      <c r="R113"/>
    </row>
    <row r="114" spans="15:18" x14ac:dyDescent="0.25">
      <c r="O114" s="1"/>
      <c r="P114" s="1"/>
      <c r="Q114"/>
      <c r="R114"/>
    </row>
    <row r="115" spans="15:18" x14ac:dyDescent="0.25">
      <c r="O115" s="1"/>
      <c r="P115" s="1"/>
      <c r="Q115"/>
      <c r="R115"/>
    </row>
    <row r="116" spans="15:18" x14ac:dyDescent="0.25">
      <c r="O116" s="1"/>
      <c r="P116" s="1"/>
      <c r="Q116"/>
      <c r="R116"/>
    </row>
    <row r="117" spans="15:18" x14ac:dyDescent="0.25">
      <c r="O117" s="1"/>
      <c r="P117" s="1"/>
      <c r="Q117"/>
      <c r="R117"/>
    </row>
    <row r="118" spans="15:18" x14ac:dyDescent="0.25">
      <c r="O118" s="1"/>
      <c r="P118" s="1"/>
      <c r="Q118"/>
      <c r="R118"/>
    </row>
    <row r="119" spans="15:18" x14ac:dyDescent="0.25">
      <c r="O119" s="1"/>
      <c r="P119" s="1"/>
      <c r="Q119"/>
      <c r="R119"/>
    </row>
    <row r="120" spans="15:18" x14ac:dyDescent="0.25">
      <c r="O120" s="1"/>
      <c r="P120" s="1"/>
      <c r="Q120"/>
      <c r="R120"/>
    </row>
    <row r="121" spans="15:18" x14ac:dyDescent="0.25">
      <c r="O121" s="1"/>
      <c r="P121" s="1"/>
      <c r="Q121"/>
      <c r="R121"/>
    </row>
    <row r="122" spans="15:18" x14ac:dyDescent="0.25">
      <c r="O122" s="1"/>
      <c r="P122" s="1"/>
      <c r="Q122"/>
      <c r="R122"/>
    </row>
    <row r="123" spans="15:18" x14ac:dyDescent="0.25">
      <c r="O123" s="1"/>
      <c r="P123" s="1"/>
      <c r="Q123"/>
      <c r="R123"/>
    </row>
    <row r="124" spans="15:18" x14ac:dyDescent="0.25">
      <c r="O124" s="1"/>
      <c r="P124" s="1"/>
      <c r="Q124"/>
      <c r="R124"/>
    </row>
    <row r="125" spans="15:18" x14ac:dyDescent="0.25">
      <c r="O125" s="1"/>
      <c r="P125" s="1"/>
      <c r="Q125"/>
      <c r="R125"/>
    </row>
    <row r="126" spans="15:18" x14ac:dyDescent="0.25">
      <c r="O126" s="1"/>
      <c r="P126" s="1"/>
      <c r="Q126"/>
      <c r="R126"/>
    </row>
    <row r="127" spans="15:18" x14ac:dyDescent="0.25">
      <c r="O127" s="1"/>
      <c r="P127" s="1"/>
      <c r="Q127"/>
      <c r="R127"/>
    </row>
    <row r="128" spans="15:18" x14ac:dyDescent="0.25">
      <c r="O128" s="1"/>
      <c r="P128" s="1"/>
      <c r="Q128"/>
      <c r="R128"/>
    </row>
    <row r="129" spans="15:18" x14ac:dyDescent="0.25">
      <c r="O129" s="1"/>
      <c r="P129" s="1"/>
      <c r="Q129"/>
      <c r="R129"/>
    </row>
    <row r="130" spans="15:18" x14ac:dyDescent="0.25">
      <c r="O130" s="1"/>
      <c r="P130" s="1"/>
      <c r="Q130"/>
      <c r="R130"/>
    </row>
    <row r="131" spans="15:18" x14ac:dyDescent="0.25">
      <c r="O131" s="1"/>
      <c r="P131" s="1"/>
      <c r="Q131"/>
      <c r="R131"/>
    </row>
    <row r="132" spans="15:18" x14ac:dyDescent="0.25">
      <c r="O132" s="1"/>
      <c r="P132" s="1"/>
      <c r="Q132"/>
      <c r="R132"/>
    </row>
    <row r="133" spans="15:18" x14ac:dyDescent="0.25">
      <c r="O133" s="1"/>
      <c r="P133" s="1"/>
      <c r="Q133"/>
      <c r="R133"/>
    </row>
    <row r="134" spans="15:18" x14ac:dyDescent="0.25">
      <c r="O134" s="1"/>
      <c r="P134" s="1"/>
      <c r="Q134"/>
      <c r="R134"/>
    </row>
    <row r="135" spans="15:18" x14ac:dyDescent="0.25">
      <c r="O135" s="1"/>
      <c r="P135" s="1"/>
      <c r="Q135"/>
      <c r="R135"/>
    </row>
    <row r="136" spans="15:18" x14ac:dyDescent="0.25">
      <c r="O136" s="1"/>
      <c r="P136" s="1"/>
      <c r="Q136"/>
      <c r="R136"/>
    </row>
    <row r="137" spans="15:18" x14ac:dyDescent="0.25">
      <c r="O137" s="1"/>
      <c r="P137" s="1"/>
      <c r="Q137"/>
      <c r="R137"/>
    </row>
    <row r="138" spans="15:18" x14ac:dyDescent="0.25">
      <c r="O138" s="1"/>
      <c r="P138" s="1"/>
      <c r="Q138"/>
      <c r="R138"/>
    </row>
    <row r="139" spans="15:18" x14ac:dyDescent="0.25">
      <c r="O139" s="1"/>
      <c r="P139" s="1"/>
      <c r="Q139"/>
      <c r="R139"/>
    </row>
    <row r="140" spans="15:18" x14ac:dyDescent="0.25">
      <c r="O140" s="1"/>
      <c r="P140" s="1"/>
      <c r="Q140"/>
      <c r="R140"/>
    </row>
    <row r="141" spans="15:18" x14ac:dyDescent="0.25">
      <c r="O141" s="1"/>
      <c r="P141" s="1"/>
      <c r="Q141"/>
      <c r="R141"/>
    </row>
    <row r="142" spans="15:18" x14ac:dyDescent="0.25">
      <c r="O142" s="1"/>
      <c r="P142" s="1"/>
      <c r="Q142"/>
      <c r="R142"/>
    </row>
    <row r="143" spans="15:18" x14ac:dyDescent="0.25">
      <c r="O143" s="1"/>
      <c r="P143" s="1"/>
      <c r="Q143"/>
      <c r="R143"/>
    </row>
    <row r="144" spans="15:18" x14ac:dyDescent="0.25">
      <c r="O144" s="1"/>
      <c r="P144" s="1"/>
      <c r="Q144"/>
      <c r="R144"/>
    </row>
    <row r="145" spans="15:18" x14ac:dyDescent="0.25">
      <c r="O145" s="1"/>
      <c r="P145" s="1"/>
      <c r="Q145"/>
      <c r="R145"/>
    </row>
    <row r="146" spans="15:18" x14ac:dyDescent="0.25">
      <c r="O146" s="1"/>
      <c r="P146" s="1"/>
      <c r="Q146"/>
      <c r="R146"/>
    </row>
    <row r="147" spans="15:18" x14ac:dyDescent="0.25">
      <c r="O147" s="1"/>
      <c r="P147" s="1"/>
      <c r="Q147"/>
      <c r="R147"/>
    </row>
    <row r="148" spans="15:18" x14ac:dyDescent="0.25">
      <c r="O148" s="1"/>
      <c r="P148" s="1"/>
      <c r="Q148"/>
      <c r="R148"/>
    </row>
    <row r="149" spans="15:18" x14ac:dyDescent="0.25">
      <c r="O149" s="1"/>
      <c r="P149" s="1"/>
      <c r="Q149"/>
      <c r="R149"/>
    </row>
    <row r="150" spans="15:18" x14ac:dyDescent="0.25">
      <c r="O150" s="1"/>
      <c r="P150" s="1"/>
      <c r="Q150"/>
      <c r="R150"/>
    </row>
    <row r="151" spans="15:18" x14ac:dyDescent="0.25">
      <c r="O151" s="1"/>
      <c r="P151" s="1"/>
      <c r="Q151"/>
      <c r="R151"/>
    </row>
    <row r="152" spans="15:18" x14ac:dyDescent="0.25">
      <c r="O152" s="1"/>
      <c r="P152" s="1"/>
      <c r="Q152"/>
      <c r="R152"/>
    </row>
    <row r="153" spans="15:18" x14ac:dyDescent="0.25">
      <c r="O153" s="1"/>
      <c r="P153" s="1"/>
      <c r="Q153"/>
      <c r="R153"/>
    </row>
    <row r="154" spans="15:18" x14ac:dyDescent="0.25">
      <c r="O154" s="1"/>
      <c r="P154" s="1"/>
      <c r="Q154"/>
      <c r="R154"/>
    </row>
    <row r="155" spans="15:18" x14ac:dyDescent="0.25">
      <c r="O155" s="1"/>
      <c r="P155" s="1"/>
      <c r="Q155"/>
      <c r="R155"/>
    </row>
    <row r="156" spans="15:18" x14ac:dyDescent="0.25">
      <c r="O156" s="1"/>
      <c r="P156" s="1"/>
      <c r="Q156"/>
      <c r="R156"/>
    </row>
    <row r="157" spans="15:18" x14ac:dyDescent="0.25">
      <c r="O157" s="1"/>
      <c r="P157" s="1"/>
      <c r="Q157"/>
      <c r="R157"/>
    </row>
    <row r="158" spans="15:18" x14ac:dyDescent="0.25">
      <c r="O158" s="1"/>
      <c r="P158" s="1"/>
      <c r="Q158"/>
      <c r="R158"/>
    </row>
    <row r="159" spans="15:18" x14ac:dyDescent="0.25">
      <c r="O159" s="1"/>
      <c r="P159" s="1"/>
      <c r="Q159"/>
      <c r="R159"/>
    </row>
    <row r="160" spans="15:18" x14ac:dyDescent="0.25">
      <c r="O160" s="1"/>
      <c r="P160" s="1"/>
      <c r="Q160"/>
      <c r="R160"/>
    </row>
    <row r="161" spans="15:18" x14ac:dyDescent="0.25">
      <c r="O161" s="1"/>
      <c r="P161" s="1"/>
      <c r="Q161"/>
      <c r="R161"/>
    </row>
    <row r="162" spans="15:18" x14ac:dyDescent="0.25">
      <c r="O162" s="1"/>
      <c r="P162" s="1"/>
      <c r="Q162"/>
      <c r="R162"/>
    </row>
    <row r="163" spans="15:18" x14ac:dyDescent="0.25">
      <c r="O163" s="1"/>
      <c r="P163" s="1"/>
      <c r="Q163"/>
      <c r="R163"/>
    </row>
    <row r="164" spans="15:18" x14ac:dyDescent="0.25">
      <c r="O164" s="1"/>
      <c r="P164" s="1"/>
      <c r="Q164"/>
      <c r="R164"/>
    </row>
    <row r="165" spans="15:18" x14ac:dyDescent="0.25">
      <c r="O165" s="1"/>
      <c r="P165" s="1"/>
      <c r="Q165"/>
      <c r="R165"/>
    </row>
    <row r="166" spans="15:18" x14ac:dyDescent="0.25">
      <c r="O166" s="1"/>
      <c r="P166" s="1"/>
      <c r="Q166"/>
      <c r="R166"/>
    </row>
    <row r="167" spans="15:18" x14ac:dyDescent="0.25">
      <c r="O167" s="1"/>
      <c r="P167" s="1"/>
      <c r="Q167"/>
      <c r="R167"/>
    </row>
    <row r="168" spans="15:18" x14ac:dyDescent="0.25">
      <c r="O168" s="1"/>
      <c r="P168" s="1"/>
      <c r="Q168"/>
      <c r="R168"/>
    </row>
    <row r="169" spans="15:18" x14ac:dyDescent="0.25">
      <c r="O169" s="1"/>
      <c r="P169" s="1"/>
      <c r="Q169"/>
      <c r="R169"/>
    </row>
    <row r="170" spans="15:18" x14ac:dyDescent="0.25">
      <c r="O170" s="1"/>
      <c r="P170" s="1"/>
      <c r="Q170"/>
      <c r="R170"/>
    </row>
    <row r="171" spans="15:18" x14ac:dyDescent="0.25">
      <c r="O171" s="1"/>
      <c r="P171" s="1"/>
      <c r="Q171"/>
      <c r="R171"/>
    </row>
    <row r="172" spans="15:18" x14ac:dyDescent="0.25">
      <c r="O172" s="1"/>
      <c r="P172" s="1"/>
      <c r="Q172"/>
      <c r="R172"/>
    </row>
    <row r="173" spans="15:18" x14ac:dyDescent="0.25">
      <c r="O173" s="1"/>
      <c r="P173" s="1"/>
      <c r="Q173"/>
      <c r="R173"/>
    </row>
    <row r="174" spans="15:18" x14ac:dyDescent="0.25">
      <c r="O174" s="1"/>
      <c r="P174" s="1"/>
      <c r="Q174"/>
      <c r="R174"/>
    </row>
    <row r="175" spans="15:18" x14ac:dyDescent="0.25">
      <c r="O175" s="1"/>
      <c r="P175" s="1"/>
      <c r="Q175"/>
      <c r="R175"/>
    </row>
    <row r="176" spans="15:18" x14ac:dyDescent="0.25">
      <c r="O176" s="1"/>
      <c r="P176" s="1"/>
      <c r="Q176"/>
      <c r="R176"/>
    </row>
    <row r="177" spans="15:18" x14ac:dyDescent="0.25">
      <c r="O177" s="1"/>
      <c r="P177" s="1"/>
      <c r="Q177"/>
      <c r="R177"/>
    </row>
    <row r="178" spans="15:18" x14ac:dyDescent="0.25">
      <c r="O178" s="1"/>
      <c r="P178" s="1"/>
      <c r="Q178"/>
      <c r="R178"/>
    </row>
    <row r="179" spans="15:18" x14ac:dyDescent="0.25">
      <c r="O179" s="1"/>
      <c r="P179" s="1"/>
      <c r="Q179"/>
      <c r="R179"/>
    </row>
    <row r="180" spans="15:18" x14ac:dyDescent="0.25">
      <c r="O180" s="1"/>
      <c r="P180" s="1"/>
      <c r="Q180"/>
      <c r="R180"/>
    </row>
    <row r="181" spans="15:18" x14ac:dyDescent="0.25">
      <c r="O181" s="1"/>
      <c r="P181" s="1"/>
      <c r="Q181"/>
      <c r="R181"/>
    </row>
    <row r="182" spans="15:18" x14ac:dyDescent="0.25">
      <c r="O182" s="1"/>
      <c r="P182" s="1"/>
      <c r="Q182"/>
      <c r="R182"/>
    </row>
    <row r="183" spans="15:18" x14ac:dyDescent="0.25">
      <c r="O183" s="1"/>
      <c r="P183" s="1"/>
      <c r="Q183"/>
      <c r="R183"/>
    </row>
    <row r="184" spans="15:18" x14ac:dyDescent="0.25">
      <c r="O184" s="1"/>
      <c r="P184" s="1"/>
      <c r="Q184"/>
      <c r="R184"/>
    </row>
    <row r="185" spans="15:18" x14ac:dyDescent="0.25">
      <c r="O185" s="1"/>
      <c r="P185" s="1"/>
      <c r="Q185"/>
      <c r="R185"/>
    </row>
    <row r="186" spans="15:18" x14ac:dyDescent="0.25">
      <c r="O186" s="1"/>
      <c r="P186" s="1"/>
      <c r="Q186"/>
      <c r="R186"/>
    </row>
    <row r="187" spans="15:18" x14ac:dyDescent="0.25">
      <c r="O187" s="1"/>
      <c r="P187" s="1"/>
      <c r="Q187"/>
      <c r="R187"/>
    </row>
    <row r="188" spans="15:18" x14ac:dyDescent="0.25">
      <c r="O188" s="1"/>
      <c r="P188" s="1"/>
      <c r="Q188"/>
      <c r="R188"/>
    </row>
    <row r="189" spans="15:18" x14ac:dyDescent="0.25">
      <c r="O189" s="1"/>
      <c r="P189" s="1"/>
      <c r="Q189"/>
      <c r="R189"/>
    </row>
    <row r="190" spans="15:18" x14ac:dyDescent="0.25">
      <c r="O190" s="1"/>
      <c r="P190" s="1"/>
      <c r="Q190"/>
      <c r="R190"/>
    </row>
    <row r="191" spans="15:18" x14ac:dyDescent="0.25">
      <c r="O191" s="1"/>
      <c r="P191" s="1"/>
      <c r="Q191"/>
      <c r="R191"/>
    </row>
    <row r="192" spans="15:18" x14ac:dyDescent="0.25">
      <c r="O192" s="1"/>
      <c r="P192" s="1"/>
      <c r="Q192"/>
      <c r="R192"/>
    </row>
    <row r="193" spans="15:18" x14ac:dyDescent="0.25">
      <c r="O193" s="1"/>
      <c r="P193" s="1"/>
      <c r="Q193"/>
      <c r="R193"/>
    </row>
    <row r="194" spans="15:18" x14ac:dyDescent="0.25">
      <c r="O194" s="1"/>
      <c r="P194" s="1"/>
      <c r="Q194"/>
      <c r="R194"/>
    </row>
    <row r="195" spans="15:18" x14ac:dyDescent="0.25">
      <c r="O195" s="1"/>
      <c r="P195" s="1"/>
      <c r="Q195"/>
      <c r="R195"/>
    </row>
    <row r="196" spans="15:18" x14ac:dyDescent="0.25">
      <c r="O196" s="1"/>
      <c r="P196" s="1"/>
      <c r="Q196"/>
      <c r="R196"/>
    </row>
    <row r="197" spans="15:18" x14ac:dyDescent="0.25">
      <c r="O197" s="1"/>
      <c r="P197" s="1"/>
      <c r="Q197"/>
      <c r="R197"/>
    </row>
    <row r="198" spans="15:18" x14ac:dyDescent="0.25">
      <c r="O198" s="1"/>
      <c r="P198" s="1"/>
      <c r="Q198"/>
      <c r="R198"/>
    </row>
    <row r="199" spans="15:18" x14ac:dyDescent="0.25">
      <c r="O199" s="1"/>
      <c r="P199" s="1"/>
      <c r="Q199"/>
      <c r="R199"/>
    </row>
    <row r="200" spans="15:18" x14ac:dyDescent="0.25">
      <c r="O200" s="1"/>
      <c r="P200" s="1"/>
      <c r="Q200"/>
      <c r="R200"/>
    </row>
    <row r="201" spans="15:18" x14ac:dyDescent="0.25">
      <c r="O201" s="1"/>
      <c r="P201" s="1"/>
      <c r="Q201"/>
      <c r="R201"/>
    </row>
    <row r="202" spans="15:18" x14ac:dyDescent="0.25">
      <c r="O202" s="1"/>
      <c r="P202" s="1"/>
      <c r="Q202"/>
      <c r="R202"/>
    </row>
    <row r="203" spans="15:18" x14ac:dyDescent="0.25">
      <c r="O203" s="1"/>
      <c r="P203" s="1"/>
      <c r="Q203"/>
      <c r="R203"/>
    </row>
    <row r="204" spans="15:18" x14ac:dyDescent="0.25">
      <c r="O204" s="1"/>
      <c r="P204" s="1"/>
      <c r="Q204"/>
      <c r="R204"/>
    </row>
    <row r="205" spans="15:18" x14ac:dyDescent="0.25">
      <c r="O205" s="1"/>
      <c r="P205" s="1"/>
      <c r="Q205"/>
      <c r="R205"/>
    </row>
    <row r="206" spans="15:18" x14ac:dyDescent="0.25">
      <c r="O206" s="1"/>
      <c r="P206" s="1"/>
      <c r="Q206"/>
      <c r="R206"/>
    </row>
    <row r="207" spans="15:18" x14ac:dyDescent="0.25">
      <c r="O207" s="1"/>
      <c r="P207" s="1"/>
      <c r="Q207"/>
      <c r="R207"/>
    </row>
    <row r="208" spans="15:18" x14ac:dyDescent="0.25">
      <c r="O208" s="1"/>
      <c r="P208" s="1"/>
      <c r="Q208"/>
      <c r="R208"/>
    </row>
    <row r="209" spans="15:18" x14ac:dyDescent="0.25">
      <c r="O209" s="1"/>
      <c r="P209" s="1"/>
      <c r="Q209"/>
      <c r="R209"/>
    </row>
    <row r="210" spans="15:18" x14ac:dyDescent="0.25">
      <c r="O210" s="1"/>
      <c r="P210" s="1"/>
      <c r="Q210"/>
      <c r="R210"/>
    </row>
    <row r="211" spans="15:18" x14ac:dyDescent="0.25">
      <c r="O211" s="1"/>
      <c r="P211" s="1"/>
      <c r="Q211"/>
      <c r="R211"/>
    </row>
    <row r="212" spans="15:18" x14ac:dyDescent="0.25">
      <c r="O212" s="1"/>
      <c r="P212" s="1"/>
      <c r="Q212"/>
      <c r="R212"/>
    </row>
    <row r="213" spans="15:18" x14ac:dyDescent="0.25">
      <c r="O213" s="1"/>
      <c r="P213" s="1"/>
      <c r="Q213"/>
      <c r="R213"/>
    </row>
    <row r="214" spans="15:18" x14ac:dyDescent="0.25">
      <c r="O214" s="1"/>
      <c r="P214" s="1"/>
      <c r="Q214"/>
      <c r="R214"/>
    </row>
    <row r="215" spans="15:18" x14ac:dyDescent="0.25">
      <c r="O215" s="1"/>
      <c r="P215" s="1"/>
      <c r="Q215"/>
      <c r="R215"/>
    </row>
    <row r="216" spans="15:18" x14ac:dyDescent="0.25">
      <c r="O216" s="1"/>
      <c r="P216" s="1"/>
      <c r="Q216"/>
      <c r="R216"/>
    </row>
    <row r="217" spans="15:18" x14ac:dyDescent="0.25">
      <c r="O217" s="1"/>
      <c r="P217" s="1"/>
      <c r="Q217"/>
      <c r="R217"/>
    </row>
    <row r="218" spans="15:18" x14ac:dyDescent="0.25">
      <c r="O218" s="1"/>
      <c r="P218" s="1"/>
      <c r="Q218"/>
      <c r="R218"/>
    </row>
    <row r="219" spans="15:18" x14ac:dyDescent="0.25">
      <c r="O219" s="1"/>
      <c r="P219" s="1"/>
      <c r="Q219"/>
      <c r="R219"/>
    </row>
    <row r="220" spans="15:18" x14ac:dyDescent="0.25">
      <c r="O220" s="1"/>
      <c r="P220" s="1"/>
      <c r="Q220"/>
      <c r="R220"/>
    </row>
    <row r="221" spans="15:18" x14ac:dyDescent="0.25">
      <c r="O221" s="1"/>
      <c r="P221" s="1"/>
      <c r="Q221"/>
      <c r="R221"/>
    </row>
    <row r="222" spans="15:18" x14ac:dyDescent="0.25">
      <c r="O222" s="1"/>
      <c r="P222" s="1"/>
      <c r="Q222"/>
      <c r="R222"/>
    </row>
    <row r="223" spans="15:18" x14ac:dyDescent="0.25">
      <c r="O223" s="1"/>
      <c r="P223" s="1"/>
      <c r="Q223"/>
      <c r="R223"/>
    </row>
    <row r="224" spans="15:18" x14ac:dyDescent="0.25">
      <c r="O224" s="1"/>
      <c r="P224" s="1"/>
      <c r="Q224"/>
      <c r="R224"/>
    </row>
    <row r="225" spans="15:18" x14ac:dyDescent="0.25">
      <c r="O225" s="1"/>
      <c r="P225" s="1"/>
      <c r="Q225"/>
      <c r="R225"/>
    </row>
    <row r="226" spans="15:18" x14ac:dyDescent="0.25">
      <c r="O226" s="1"/>
      <c r="P226" s="1"/>
      <c r="Q226"/>
      <c r="R226"/>
    </row>
    <row r="227" spans="15:18" x14ac:dyDescent="0.25">
      <c r="O227" s="1"/>
      <c r="P227" s="1"/>
      <c r="Q227"/>
      <c r="R227"/>
    </row>
    <row r="228" spans="15:18" x14ac:dyDescent="0.25">
      <c r="O228" s="1"/>
      <c r="P228" s="1"/>
      <c r="Q228"/>
      <c r="R228"/>
    </row>
    <row r="229" spans="15:18" x14ac:dyDescent="0.25">
      <c r="O229" s="1"/>
      <c r="P229" s="1"/>
      <c r="Q229"/>
      <c r="R229"/>
    </row>
    <row r="230" spans="15:18" x14ac:dyDescent="0.25">
      <c r="O230" s="1"/>
      <c r="P230" s="1"/>
      <c r="Q230"/>
      <c r="R230"/>
    </row>
    <row r="231" spans="15:18" x14ac:dyDescent="0.25">
      <c r="O231" s="1"/>
      <c r="P231" s="1"/>
      <c r="Q231"/>
      <c r="R231"/>
    </row>
    <row r="232" spans="15:18" x14ac:dyDescent="0.25">
      <c r="O232" s="1"/>
      <c r="P232" s="1"/>
      <c r="Q232"/>
      <c r="R232"/>
    </row>
    <row r="233" spans="15:18" x14ac:dyDescent="0.25">
      <c r="O233" s="1"/>
      <c r="P233" s="1"/>
      <c r="Q233"/>
      <c r="R233"/>
    </row>
    <row r="234" spans="15:18" x14ac:dyDescent="0.25">
      <c r="O234" s="1"/>
      <c r="P234" s="1"/>
      <c r="Q234"/>
      <c r="R234"/>
    </row>
    <row r="235" spans="15:18" x14ac:dyDescent="0.25">
      <c r="O235" s="1"/>
      <c r="P235" s="1"/>
      <c r="Q235"/>
      <c r="R235"/>
    </row>
    <row r="236" spans="15:18" x14ac:dyDescent="0.25">
      <c r="O236" s="1"/>
      <c r="P236" s="1"/>
      <c r="Q236"/>
      <c r="R236"/>
    </row>
    <row r="237" spans="15:18" x14ac:dyDescent="0.25">
      <c r="O237" s="1"/>
      <c r="P237" s="1"/>
      <c r="Q237"/>
      <c r="R237"/>
    </row>
    <row r="238" spans="15:18" x14ac:dyDescent="0.25">
      <c r="O238" s="1"/>
      <c r="P238" s="1"/>
      <c r="Q238"/>
      <c r="R238"/>
    </row>
    <row r="239" spans="15:18" x14ac:dyDescent="0.25">
      <c r="O239" s="1"/>
      <c r="P239" s="1"/>
      <c r="Q239"/>
      <c r="R239"/>
    </row>
    <row r="240" spans="15:18" x14ac:dyDescent="0.25">
      <c r="O240" s="1"/>
      <c r="P240" s="1"/>
      <c r="Q240"/>
      <c r="R240"/>
    </row>
    <row r="241" spans="15:18" x14ac:dyDescent="0.25">
      <c r="O241" s="1"/>
      <c r="P241" s="1"/>
      <c r="Q241"/>
      <c r="R241"/>
    </row>
    <row r="242" spans="15:18" x14ac:dyDescent="0.25">
      <c r="O242" s="1"/>
      <c r="P242" s="1"/>
      <c r="Q242"/>
      <c r="R242"/>
    </row>
    <row r="243" spans="15:18" x14ac:dyDescent="0.25">
      <c r="O243" s="1"/>
      <c r="P243" s="1"/>
      <c r="Q243"/>
      <c r="R243"/>
    </row>
    <row r="244" spans="15:18" x14ac:dyDescent="0.25">
      <c r="O244" s="1"/>
      <c r="P244" s="1"/>
      <c r="Q244"/>
      <c r="R244"/>
    </row>
    <row r="245" spans="15:18" x14ac:dyDescent="0.25">
      <c r="O245" s="1"/>
      <c r="P245" s="1"/>
      <c r="Q245"/>
      <c r="R245"/>
    </row>
    <row r="246" spans="15:18" x14ac:dyDescent="0.25">
      <c r="O246" s="1"/>
      <c r="P246" s="1"/>
      <c r="Q246"/>
      <c r="R246"/>
    </row>
    <row r="247" spans="15:18" x14ac:dyDescent="0.25">
      <c r="O247" s="1"/>
      <c r="P247" s="1"/>
      <c r="Q247"/>
      <c r="R247"/>
    </row>
    <row r="248" spans="15:18" x14ac:dyDescent="0.25">
      <c r="O248" s="1"/>
      <c r="P248" s="1"/>
      <c r="Q248"/>
      <c r="R248"/>
    </row>
    <row r="249" spans="15:18" x14ac:dyDescent="0.25">
      <c r="O249" s="1"/>
      <c r="P249" s="1"/>
      <c r="Q249"/>
      <c r="R249"/>
    </row>
    <row r="250" spans="15:18" x14ac:dyDescent="0.25">
      <c r="O250" s="1"/>
      <c r="P250" s="1"/>
      <c r="Q250"/>
      <c r="R250"/>
    </row>
    <row r="251" spans="15:18" x14ac:dyDescent="0.25">
      <c r="O251" s="1"/>
      <c r="P251" s="1"/>
      <c r="Q251"/>
      <c r="R251"/>
    </row>
    <row r="252" spans="15:18" x14ac:dyDescent="0.25">
      <c r="O252" s="1"/>
      <c r="P252" s="1"/>
      <c r="Q252"/>
      <c r="R252"/>
    </row>
    <row r="253" spans="15:18" x14ac:dyDescent="0.25">
      <c r="O253" s="1"/>
      <c r="P253" s="1"/>
      <c r="Q253"/>
      <c r="R253"/>
    </row>
    <row r="254" spans="15:18" x14ac:dyDescent="0.25">
      <c r="O254" s="1"/>
      <c r="P254" s="1"/>
      <c r="Q254"/>
      <c r="R254"/>
    </row>
    <row r="255" spans="15:18" x14ac:dyDescent="0.25">
      <c r="O255" s="1"/>
      <c r="P255" s="1"/>
      <c r="Q255"/>
      <c r="R255"/>
    </row>
    <row r="256" spans="15:18" x14ac:dyDescent="0.25">
      <c r="O256" s="1"/>
      <c r="P256" s="1"/>
      <c r="Q256"/>
      <c r="R256"/>
    </row>
    <row r="257" spans="15:18" x14ac:dyDescent="0.25">
      <c r="O257" s="1"/>
      <c r="P257" s="1"/>
      <c r="Q257"/>
      <c r="R257"/>
    </row>
    <row r="258" spans="15:18" x14ac:dyDescent="0.25">
      <c r="O258" s="1"/>
      <c r="P258" s="1"/>
      <c r="Q258"/>
      <c r="R258"/>
    </row>
    <row r="259" spans="15:18" x14ac:dyDescent="0.25">
      <c r="O259" s="1"/>
      <c r="P259" s="1"/>
      <c r="Q259"/>
      <c r="R259"/>
    </row>
    <row r="260" spans="15:18" x14ac:dyDescent="0.25">
      <c r="O260" s="1"/>
      <c r="P260" s="1"/>
      <c r="Q260"/>
      <c r="R260"/>
    </row>
    <row r="261" spans="15:18" x14ac:dyDescent="0.25">
      <c r="O261" s="1"/>
      <c r="P261" s="1"/>
      <c r="Q261"/>
      <c r="R261"/>
    </row>
    <row r="262" spans="15:18" x14ac:dyDescent="0.25">
      <c r="O262" s="1"/>
      <c r="P262" s="1"/>
      <c r="Q262"/>
      <c r="R262"/>
    </row>
    <row r="263" spans="15:18" x14ac:dyDescent="0.25">
      <c r="O263" s="1"/>
      <c r="P263" s="1"/>
      <c r="Q263"/>
      <c r="R263"/>
    </row>
    <row r="264" spans="15:18" x14ac:dyDescent="0.25">
      <c r="O264" s="1"/>
      <c r="P264" s="1"/>
      <c r="Q264"/>
      <c r="R264"/>
    </row>
    <row r="265" spans="15:18" x14ac:dyDescent="0.25">
      <c r="O265" s="1"/>
      <c r="P265" s="1"/>
      <c r="Q265"/>
      <c r="R265"/>
    </row>
    <row r="266" spans="15:18" x14ac:dyDescent="0.25">
      <c r="O266" s="1"/>
      <c r="P266" s="1"/>
      <c r="Q266"/>
      <c r="R266"/>
    </row>
    <row r="267" spans="15:18" x14ac:dyDescent="0.25">
      <c r="O267" s="1"/>
      <c r="P267" s="1"/>
      <c r="Q267"/>
      <c r="R267"/>
    </row>
    <row r="268" spans="15:18" x14ac:dyDescent="0.25">
      <c r="O268" s="1"/>
      <c r="P268" s="1"/>
      <c r="Q268"/>
      <c r="R268"/>
    </row>
    <row r="269" spans="15:18" x14ac:dyDescent="0.25">
      <c r="O269" s="1"/>
      <c r="P269" s="1"/>
      <c r="Q269"/>
      <c r="R269"/>
    </row>
    <row r="270" spans="15:18" x14ac:dyDescent="0.25">
      <c r="O270" s="1"/>
      <c r="P270" s="1"/>
      <c r="Q270"/>
      <c r="R270"/>
    </row>
    <row r="271" spans="15:18" x14ac:dyDescent="0.25">
      <c r="O271" s="1"/>
      <c r="P271" s="1"/>
      <c r="Q271"/>
      <c r="R271"/>
    </row>
    <row r="272" spans="15:18" x14ac:dyDescent="0.25">
      <c r="O272" s="1"/>
      <c r="P272" s="1"/>
      <c r="Q272"/>
      <c r="R272"/>
    </row>
    <row r="273" spans="15:18" x14ac:dyDescent="0.25">
      <c r="O273" s="1"/>
      <c r="P273" s="1"/>
      <c r="Q273"/>
      <c r="R273"/>
    </row>
    <row r="274" spans="15:18" x14ac:dyDescent="0.25">
      <c r="O274" s="1"/>
      <c r="P274" s="1"/>
      <c r="Q274"/>
      <c r="R274"/>
    </row>
    <row r="275" spans="15:18" x14ac:dyDescent="0.25">
      <c r="O275" s="1"/>
      <c r="P275" s="1"/>
      <c r="Q275"/>
      <c r="R275"/>
    </row>
    <row r="276" spans="15:18" x14ac:dyDescent="0.25">
      <c r="O276" s="1"/>
      <c r="P276" s="1"/>
      <c r="Q276"/>
      <c r="R276"/>
    </row>
    <row r="277" spans="15:18" x14ac:dyDescent="0.25">
      <c r="O277" s="1"/>
      <c r="P277" s="1"/>
      <c r="Q277"/>
      <c r="R277"/>
    </row>
    <row r="278" spans="15:18" x14ac:dyDescent="0.25">
      <c r="O278" s="1"/>
      <c r="P278" s="1"/>
      <c r="Q278"/>
      <c r="R278"/>
    </row>
    <row r="279" spans="15:18" x14ac:dyDescent="0.25">
      <c r="O279" s="1"/>
      <c r="P279" s="1"/>
      <c r="Q279"/>
      <c r="R279"/>
    </row>
    <row r="280" spans="15:18" x14ac:dyDescent="0.25">
      <c r="O280" s="1"/>
      <c r="P280" s="1"/>
      <c r="Q280"/>
      <c r="R280"/>
    </row>
    <row r="281" spans="15:18" x14ac:dyDescent="0.25">
      <c r="O281" s="1"/>
      <c r="P281" s="1"/>
      <c r="Q281"/>
      <c r="R281"/>
    </row>
    <row r="282" spans="15:18" x14ac:dyDescent="0.25">
      <c r="O282" s="1"/>
      <c r="P282" s="1"/>
      <c r="Q282"/>
      <c r="R282"/>
    </row>
    <row r="283" spans="15:18" x14ac:dyDescent="0.25">
      <c r="O283" s="1"/>
      <c r="P283" s="1"/>
      <c r="Q283"/>
      <c r="R283"/>
    </row>
    <row r="284" spans="15:18" x14ac:dyDescent="0.25">
      <c r="O284" s="1"/>
      <c r="P284" s="1"/>
      <c r="Q284"/>
      <c r="R284"/>
    </row>
    <row r="285" spans="15:18" x14ac:dyDescent="0.25">
      <c r="O285" s="1"/>
      <c r="P285" s="1"/>
      <c r="Q285"/>
      <c r="R285"/>
    </row>
    <row r="286" spans="15:18" x14ac:dyDescent="0.25">
      <c r="O286" s="1"/>
      <c r="P286" s="1"/>
      <c r="Q286"/>
      <c r="R286"/>
    </row>
    <row r="287" spans="15:18" x14ac:dyDescent="0.25">
      <c r="O287" s="1"/>
      <c r="P287" s="1"/>
      <c r="Q287"/>
      <c r="R287"/>
    </row>
    <row r="288" spans="15:18" x14ac:dyDescent="0.25">
      <c r="O288" s="1"/>
      <c r="P288" s="1"/>
      <c r="Q288"/>
      <c r="R288"/>
    </row>
    <row r="289" spans="15:18" x14ac:dyDescent="0.25">
      <c r="O289" s="1"/>
      <c r="P289" s="1"/>
      <c r="Q289"/>
      <c r="R289"/>
    </row>
    <row r="290" spans="15:18" x14ac:dyDescent="0.25">
      <c r="O290" s="1"/>
      <c r="P290" s="1"/>
      <c r="Q290"/>
      <c r="R290"/>
    </row>
    <row r="291" spans="15:18" x14ac:dyDescent="0.25">
      <c r="O291" s="1"/>
      <c r="P291" s="1"/>
      <c r="Q291"/>
      <c r="R291"/>
    </row>
    <row r="292" spans="15:18" x14ac:dyDescent="0.25">
      <c r="O292" s="1"/>
      <c r="P292" s="1"/>
      <c r="Q292"/>
      <c r="R292"/>
    </row>
    <row r="293" spans="15:18" x14ac:dyDescent="0.25">
      <c r="O293" s="1"/>
      <c r="P293" s="1"/>
      <c r="Q293"/>
      <c r="R293"/>
    </row>
    <row r="294" spans="15:18" x14ac:dyDescent="0.25">
      <c r="O294" s="1"/>
      <c r="P294" s="1"/>
      <c r="Q294"/>
      <c r="R294"/>
    </row>
    <row r="295" spans="15:18" x14ac:dyDescent="0.25">
      <c r="O295" s="1"/>
      <c r="P295" s="1"/>
      <c r="Q295"/>
      <c r="R295"/>
    </row>
    <row r="296" spans="15:18" x14ac:dyDescent="0.25">
      <c r="O296" s="1"/>
      <c r="P296" s="1"/>
      <c r="Q296"/>
      <c r="R296"/>
    </row>
    <row r="297" spans="15:18" x14ac:dyDescent="0.25">
      <c r="O297" s="1"/>
      <c r="P297" s="1"/>
      <c r="Q297"/>
      <c r="R297"/>
    </row>
    <row r="298" spans="15:18" x14ac:dyDescent="0.25">
      <c r="O298" s="1"/>
      <c r="P298" s="1"/>
      <c r="Q298"/>
      <c r="R298"/>
    </row>
    <row r="299" spans="15:18" x14ac:dyDescent="0.25">
      <c r="O299" s="1"/>
      <c r="P299" s="1"/>
      <c r="Q299"/>
      <c r="R299"/>
    </row>
    <row r="300" spans="15:18" x14ac:dyDescent="0.25">
      <c r="O300" s="1"/>
      <c r="P300" s="1"/>
      <c r="Q300"/>
      <c r="R300"/>
    </row>
    <row r="301" spans="15:18" x14ac:dyDescent="0.25">
      <c r="O301" s="1"/>
      <c r="P301" s="1"/>
      <c r="Q301"/>
      <c r="R301"/>
    </row>
    <row r="302" spans="15:18" x14ac:dyDescent="0.25">
      <c r="O302" s="1"/>
      <c r="P302" s="1"/>
      <c r="Q302"/>
      <c r="R302"/>
    </row>
    <row r="303" spans="15:18" x14ac:dyDescent="0.25">
      <c r="O303" s="1"/>
      <c r="P303" s="1"/>
      <c r="Q303"/>
      <c r="R303"/>
    </row>
    <row r="304" spans="15:18" x14ac:dyDescent="0.25">
      <c r="O304" s="1"/>
      <c r="P304" s="1"/>
      <c r="Q304"/>
      <c r="R304"/>
    </row>
    <row r="305" spans="15:18" x14ac:dyDescent="0.25">
      <c r="O305" s="1"/>
      <c r="P305" s="1"/>
      <c r="Q305"/>
      <c r="R305"/>
    </row>
    <row r="306" spans="15:18" x14ac:dyDescent="0.25">
      <c r="O306" s="1"/>
      <c r="P306" s="1"/>
      <c r="Q306"/>
      <c r="R306"/>
    </row>
    <row r="307" spans="15:18" x14ac:dyDescent="0.25">
      <c r="O307" s="1"/>
      <c r="P307" s="1"/>
      <c r="Q307"/>
      <c r="R307"/>
    </row>
    <row r="308" spans="15:18" x14ac:dyDescent="0.25">
      <c r="O308" s="1"/>
      <c r="P308" s="1"/>
      <c r="Q308"/>
      <c r="R308"/>
    </row>
    <row r="309" spans="15:18" x14ac:dyDescent="0.25">
      <c r="O309" s="1"/>
      <c r="P309" s="1"/>
      <c r="Q309"/>
      <c r="R309"/>
    </row>
    <row r="310" spans="15:18" x14ac:dyDescent="0.25">
      <c r="O310" s="1"/>
      <c r="P310" s="1"/>
      <c r="Q310"/>
      <c r="R310"/>
    </row>
    <row r="311" spans="15:18" x14ac:dyDescent="0.25">
      <c r="O311" s="1"/>
      <c r="P311" s="1"/>
      <c r="Q311"/>
      <c r="R311"/>
    </row>
    <row r="312" spans="15:18" x14ac:dyDescent="0.25">
      <c r="O312" s="1"/>
      <c r="P312" s="1"/>
      <c r="Q312"/>
      <c r="R312"/>
    </row>
    <row r="313" spans="15:18" x14ac:dyDescent="0.25">
      <c r="O313" s="1"/>
      <c r="P313" s="1"/>
      <c r="Q313"/>
      <c r="R313"/>
    </row>
    <row r="314" spans="15:18" x14ac:dyDescent="0.25">
      <c r="O314" s="1"/>
      <c r="P314" s="1"/>
      <c r="Q314"/>
      <c r="R314"/>
    </row>
    <row r="315" spans="15:18" x14ac:dyDescent="0.25">
      <c r="O315" s="1"/>
      <c r="P315" s="1"/>
      <c r="Q315"/>
      <c r="R315"/>
    </row>
    <row r="316" spans="15:18" x14ac:dyDescent="0.25">
      <c r="O316" s="1"/>
      <c r="P316" s="1"/>
      <c r="Q316"/>
      <c r="R316"/>
    </row>
    <row r="317" spans="15:18" x14ac:dyDescent="0.25">
      <c r="O317" s="1"/>
      <c r="P317" s="1"/>
      <c r="Q317"/>
      <c r="R317"/>
    </row>
    <row r="318" spans="15:18" x14ac:dyDescent="0.25">
      <c r="O318" s="1"/>
      <c r="P318" s="1"/>
      <c r="Q318"/>
      <c r="R318"/>
    </row>
    <row r="319" spans="15:18" x14ac:dyDescent="0.25">
      <c r="O319" s="1"/>
      <c r="P319" s="1"/>
      <c r="Q319"/>
      <c r="R319"/>
    </row>
    <row r="320" spans="15:18" x14ac:dyDescent="0.25">
      <c r="O320" s="1"/>
      <c r="P320" s="1"/>
      <c r="Q320"/>
      <c r="R320"/>
    </row>
    <row r="321" spans="15:18" x14ac:dyDescent="0.25">
      <c r="O321" s="1"/>
      <c r="P321" s="1"/>
      <c r="Q321"/>
      <c r="R321"/>
    </row>
    <row r="322" spans="15:18" x14ac:dyDescent="0.25">
      <c r="O322" s="1"/>
      <c r="P322" s="1"/>
      <c r="Q322"/>
      <c r="R322"/>
    </row>
    <row r="323" spans="15:18" x14ac:dyDescent="0.25">
      <c r="O323" s="1"/>
      <c r="P323" s="1"/>
      <c r="Q323"/>
      <c r="R323"/>
    </row>
    <row r="324" spans="15:18" x14ac:dyDescent="0.25">
      <c r="O324" s="1"/>
      <c r="P324" s="1"/>
      <c r="Q324"/>
      <c r="R324"/>
    </row>
    <row r="325" spans="15:18" x14ac:dyDescent="0.25">
      <c r="O325" s="1"/>
      <c r="P325" s="1"/>
      <c r="Q325"/>
      <c r="R325"/>
    </row>
    <row r="326" spans="15:18" x14ac:dyDescent="0.25">
      <c r="O326" s="1"/>
      <c r="P326" s="1"/>
      <c r="Q326"/>
      <c r="R326"/>
    </row>
    <row r="327" spans="15:18" x14ac:dyDescent="0.25">
      <c r="O327" s="1"/>
      <c r="P327" s="1"/>
      <c r="Q327"/>
      <c r="R327"/>
    </row>
    <row r="328" spans="15:18" x14ac:dyDescent="0.25">
      <c r="O328" s="1"/>
      <c r="P328" s="1"/>
      <c r="Q328"/>
      <c r="R328"/>
    </row>
    <row r="329" spans="15:18" x14ac:dyDescent="0.25">
      <c r="O329" s="1"/>
      <c r="P329" s="1"/>
      <c r="Q329"/>
      <c r="R329"/>
    </row>
    <row r="330" spans="15:18" x14ac:dyDescent="0.25">
      <c r="O330" s="1"/>
      <c r="P330" s="1"/>
      <c r="Q330"/>
      <c r="R330"/>
    </row>
    <row r="331" spans="15:18" x14ac:dyDescent="0.25">
      <c r="O331" s="1"/>
      <c r="P331" s="1"/>
      <c r="Q331"/>
      <c r="R331"/>
    </row>
    <row r="332" spans="15:18" x14ac:dyDescent="0.25">
      <c r="O332" s="1"/>
      <c r="P332" s="1"/>
      <c r="Q332"/>
      <c r="R332"/>
    </row>
    <row r="333" spans="15:18" x14ac:dyDescent="0.25">
      <c r="O333" s="1"/>
      <c r="P333" s="1"/>
      <c r="Q333"/>
      <c r="R333"/>
    </row>
    <row r="334" spans="15:18" x14ac:dyDescent="0.25">
      <c r="O334" s="1"/>
      <c r="P334" s="1"/>
      <c r="Q334"/>
      <c r="R334"/>
    </row>
    <row r="335" spans="15:18" x14ac:dyDescent="0.25">
      <c r="O335" s="1"/>
      <c r="P335" s="1"/>
      <c r="Q335"/>
      <c r="R335"/>
    </row>
    <row r="336" spans="15:18" x14ac:dyDescent="0.25">
      <c r="O336" s="1"/>
      <c r="P336" s="1"/>
      <c r="Q336"/>
      <c r="R336"/>
    </row>
    <row r="337" spans="15:18" x14ac:dyDescent="0.25">
      <c r="O337" s="1"/>
      <c r="P337" s="1"/>
      <c r="Q337"/>
      <c r="R337"/>
    </row>
    <row r="338" spans="15:18" x14ac:dyDescent="0.25">
      <c r="O338" s="1"/>
      <c r="P338" s="1"/>
      <c r="Q338"/>
      <c r="R338"/>
    </row>
    <row r="339" spans="15:18" x14ac:dyDescent="0.25">
      <c r="O339" s="1"/>
      <c r="P339" s="1"/>
      <c r="Q339"/>
      <c r="R339"/>
    </row>
    <row r="340" spans="15:18" x14ac:dyDescent="0.25">
      <c r="O340" s="1"/>
      <c r="P340" s="1"/>
      <c r="Q340"/>
      <c r="R340"/>
    </row>
    <row r="341" spans="15:18" x14ac:dyDescent="0.25">
      <c r="O341" s="1"/>
      <c r="P341" s="1"/>
      <c r="Q341"/>
      <c r="R341"/>
    </row>
    <row r="342" spans="15:18" x14ac:dyDescent="0.25">
      <c r="O342" s="1"/>
      <c r="P342" s="1"/>
      <c r="Q342"/>
      <c r="R342"/>
    </row>
    <row r="343" spans="15:18" x14ac:dyDescent="0.25">
      <c r="O343" s="1"/>
      <c r="P343" s="1"/>
      <c r="Q343"/>
      <c r="R343"/>
    </row>
    <row r="344" spans="15:18" x14ac:dyDescent="0.25">
      <c r="O344" s="1"/>
      <c r="P344" s="1"/>
      <c r="Q344"/>
      <c r="R344"/>
    </row>
    <row r="345" spans="15:18" x14ac:dyDescent="0.25">
      <c r="O345" s="1"/>
      <c r="P345" s="1"/>
      <c r="Q345"/>
      <c r="R345"/>
    </row>
    <row r="346" spans="15:18" x14ac:dyDescent="0.25">
      <c r="O346" s="1"/>
      <c r="P346" s="1"/>
      <c r="Q346"/>
      <c r="R346"/>
    </row>
    <row r="347" spans="15:18" x14ac:dyDescent="0.25">
      <c r="O347" s="1"/>
      <c r="P347" s="1"/>
      <c r="Q347"/>
      <c r="R347"/>
    </row>
    <row r="348" spans="15:18" x14ac:dyDescent="0.25">
      <c r="O348" s="1"/>
      <c r="P348" s="1"/>
      <c r="Q348"/>
      <c r="R348"/>
    </row>
    <row r="349" spans="15:18" x14ac:dyDescent="0.25">
      <c r="O349" s="1"/>
      <c r="P349" s="1"/>
      <c r="Q349"/>
      <c r="R349"/>
    </row>
    <row r="350" spans="15:18" x14ac:dyDescent="0.25">
      <c r="O350" s="1"/>
      <c r="P350" s="1"/>
      <c r="Q350"/>
      <c r="R350"/>
    </row>
    <row r="351" spans="15:18" x14ac:dyDescent="0.25">
      <c r="O351" s="1"/>
      <c r="P351" s="1"/>
      <c r="Q351"/>
      <c r="R351"/>
    </row>
    <row r="352" spans="15:18" x14ac:dyDescent="0.25">
      <c r="O352" s="1"/>
      <c r="P352" s="1"/>
      <c r="Q352"/>
      <c r="R352"/>
    </row>
    <row r="353" spans="15:18" x14ac:dyDescent="0.25">
      <c r="O353" s="1"/>
      <c r="P353" s="1"/>
      <c r="Q353"/>
      <c r="R353"/>
    </row>
    <row r="354" spans="15:18" x14ac:dyDescent="0.25">
      <c r="O354" s="1"/>
      <c r="P354" s="1"/>
      <c r="Q354"/>
      <c r="R354"/>
    </row>
    <row r="355" spans="15:18" x14ac:dyDescent="0.25">
      <c r="O355" s="1"/>
      <c r="P355" s="1"/>
      <c r="Q355"/>
      <c r="R355"/>
    </row>
    <row r="356" spans="15:18" x14ac:dyDescent="0.25">
      <c r="O356" s="1"/>
      <c r="P356" s="1"/>
      <c r="Q356"/>
      <c r="R356"/>
    </row>
    <row r="357" spans="15:18" x14ac:dyDescent="0.25">
      <c r="O357" s="1"/>
      <c r="P357" s="1"/>
      <c r="Q357"/>
      <c r="R357"/>
    </row>
    <row r="358" spans="15:18" x14ac:dyDescent="0.25">
      <c r="O358" s="1"/>
      <c r="P358" s="1"/>
      <c r="Q358"/>
      <c r="R358"/>
    </row>
    <row r="359" spans="15:18" x14ac:dyDescent="0.25">
      <c r="O359" s="1"/>
      <c r="P359" s="1"/>
      <c r="Q359"/>
      <c r="R359"/>
    </row>
    <row r="360" spans="15:18" x14ac:dyDescent="0.25">
      <c r="O360" s="1"/>
      <c r="P360" s="1"/>
      <c r="Q360"/>
      <c r="R360"/>
    </row>
    <row r="361" spans="15:18" x14ac:dyDescent="0.25">
      <c r="O361" s="1"/>
      <c r="P361" s="1"/>
      <c r="Q361"/>
      <c r="R361"/>
    </row>
    <row r="362" spans="15:18" x14ac:dyDescent="0.25">
      <c r="O362" s="1"/>
      <c r="P362" s="1"/>
      <c r="Q362"/>
      <c r="R362"/>
    </row>
    <row r="363" spans="15:18" x14ac:dyDescent="0.25">
      <c r="O363" s="1"/>
      <c r="P363" s="1"/>
      <c r="Q363"/>
      <c r="R363"/>
    </row>
    <row r="364" spans="15:18" x14ac:dyDescent="0.25">
      <c r="O364" s="1"/>
      <c r="P364" s="1"/>
      <c r="Q364"/>
      <c r="R364"/>
    </row>
    <row r="365" spans="15:18" x14ac:dyDescent="0.25">
      <c r="O365" s="1"/>
      <c r="P365" s="1"/>
      <c r="Q365"/>
      <c r="R365"/>
    </row>
    <row r="366" spans="15:18" x14ac:dyDescent="0.25">
      <c r="O366" s="1"/>
      <c r="P366" s="1"/>
      <c r="Q366"/>
      <c r="R366"/>
    </row>
    <row r="367" spans="15:18" x14ac:dyDescent="0.25">
      <c r="O367" s="1"/>
      <c r="P367" s="1"/>
      <c r="Q367"/>
      <c r="R367"/>
    </row>
    <row r="368" spans="15:18" x14ac:dyDescent="0.25">
      <c r="O368" s="1"/>
      <c r="P368" s="1"/>
      <c r="Q368"/>
      <c r="R368"/>
    </row>
    <row r="369" spans="15:18" x14ac:dyDescent="0.25">
      <c r="O369" s="1"/>
      <c r="P369" s="1"/>
      <c r="Q369"/>
      <c r="R369"/>
    </row>
    <row r="370" spans="15:18" x14ac:dyDescent="0.25">
      <c r="O370" s="1"/>
      <c r="P370" s="1"/>
      <c r="Q370"/>
      <c r="R370"/>
    </row>
    <row r="371" spans="15:18" x14ac:dyDescent="0.25">
      <c r="O371" s="1"/>
      <c r="P371" s="1"/>
      <c r="Q371"/>
      <c r="R371"/>
    </row>
    <row r="372" spans="15:18" x14ac:dyDescent="0.25">
      <c r="O372" s="1"/>
      <c r="P372" s="1"/>
      <c r="Q372"/>
      <c r="R372"/>
    </row>
    <row r="373" spans="15:18" x14ac:dyDescent="0.25">
      <c r="O373" s="1"/>
      <c r="P373" s="1"/>
      <c r="Q373"/>
      <c r="R373"/>
    </row>
    <row r="374" spans="15:18" x14ac:dyDescent="0.25">
      <c r="O374" s="1"/>
      <c r="P374" s="1"/>
      <c r="Q374"/>
      <c r="R374"/>
    </row>
    <row r="375" spans="15:18" x14ac:dyDescent="0.25">
      <c r="O375" s="1"/>
      <c r="P375" s="1"/>
      <c r="Q375"/>
      <c r="R375"/>
    </row>
    <row r="376" spans="15:18" x14ac:dyDescent="0.25">
      <c r="O376" s="31"/>
      <c r="P376" s="31"/>
      <c r="Q376" s="29"/>
      <c r="R376" s="2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7D29C-22ED-4819-83A1-39F713E19A9F}">
  <dimension ref="A1:AA56"/>
  <sheetViews>
    <sheetView tabSelected="1" topLeftCell="AR1" zoomScale="80" zoomScaleNormal="70" workbookViewId="0">
      <selection activeCell="AH22" sqref="AH22"/>
    </sheetView>
  </sheetViews>
  <sheetFormatPr baseColWidth="10" defaultColWidth="11.42578125" defaultRowHeight="15" x14ac:dyDescent="0.25"/>
  <cols>
    <col min="3" max="3" width="38" bestFit="1" customWidth="1"/>
    <col min="4" max="4" width="17.5703125" bestFit="1" customWidth="1"/>
    <col min="5" max="6" width="15.42578125" bestFit="1" customWidth="1"/>
    <col min="7" max="7" width="10.42578125" bestFit="1" customWidth="1"/>
    <col min="8" max="8" width="15" bestFit="1" customWidth="1"/>
    <col min="9" max="10" width="2" bestFit="1" customWidth="1"/>
    <col min="11" max="16" width="3" bestFit="1" customWidth="1"/>
    <col min="17" max="17" width="17.5703125" bestFit="1" customWidth="1"/>
    <col min="18" max="18" width="15.42578125" bestFit="1" customWidth="1"/>
    <col min="19" max="21" width="2" bestFit="1" customWidth="1"/>
    <col min="22" max="24" width="3" bestFit="1" customWidth="1"/>
    <col min="25" max="25" width="23.28515625" bestFit="1" customWidth="1"/>
    <col min="26" max="26" width="22.42578125" bestFit="1" customWidth="1"/>
    <col min="27" max="28" width="12.5703125" bestFit="1" customWidth="1"/>
    <col min="29" max="34" width="3" bestFit="1" customWidth="1"/>
    <col min="35" max="35" width="12.5703125" bestFit="1" customWidth="1"/>
    <col min="36" max="38" width="2" bestFit="1" customWidth="1"/>
    <col min="39" max="43" width="3" bestFit="1" customWidth="1"/>
    <col min="44" max="44" width="12.5703125" bestFit="1" customWidth="1"/>
    <col min="45" max="45" width="20.42578125" bestFit="1" customWidth="1"/>
  </cols>
  <sheetData>
    <row r="1" spans="1:27" x14ac:dyDescent="0.25">
      <c r="A1" s="36" t="s">
        <v>3</v>
      </c>
      <c r="B1" s="36" t="s">
        <v>4</v>
      </c>
      <c r="C1" s="36" t="s">
        <v>135</v>
      </c>
    </row>
    <row r="2" spans="1:27" ht="30" x14ac:dyDescent="0.25">
      <c r="A2" s="9">
        <v>9</v>
      </c>
      <c r="B2" s="9" t="s">
        <v>11</v>
      </c>
      <c r="C2" s="40" t="s">
        <v>141</v>
      </c>
      <c r="D2" s="37" t="s">
        <v>199</v>
      </c>
      <c r="E2" s="38" t="s">
        <v>200</v>
      </c>
      <c r="G2" s="37" t="s">
        <v>201</v>
      </c>
      <c r="H2" s="38" t="s">
        <v>202</v>
      </c>
      <c r="Q2" s="34" t="s">
        <v>203</v>
      </c>
      <c r="R2" t="s">
        <v>202</v>
      </c>
    </row>
    <row r="3" spans="1:27" x14ac:dyDescent="0.25">
      <c r="A3" s="9">
        <v>10</v>
      </c>
      <c r="B3" s="9" t="s">
        <v>11</v>
      </c>
      <c r="C3" s="15" t="s">
        <v>145</v>
      </c>
      <c r="D3" s="35" t="s">
        <v>11</v>
      </c>
      <c r="E3">
        <v>40</v>
      </c>
      <c r="G3" s="35">
        <v>6</v>
      </c>
      <c r="H3">
        <v>4</v>
      </c>
      <c r="Q3" s="35">
        <v>6</v>
      </c>
      <c r="R3">
        <v>4</v>
      </c>
      <c r="Y3" s="34" t="s">
        <v>200</v>
      </c>
      <c r="Z3" s="34" t="s">
        <v>204</v>
      </c>
    </row>
    <row r="4" spans="1:27" x14ac:dyDescent="0.25">
      <c r="A4" s="9">
        <v>12</v>
      </c>
      <c r="B4" s="9" t="s">
        <v>11</v>
      </c>
      <c r="C4" s="15" t="s">
        <v>147</v>
      </c>
      <c r="D4" s="35" t="s">
        <v>50</v>
      </c>
      <c r="E4">
        <v>15</v>
      </c>
      <c r="G4" s="35">
        <v>7</v>
      </c>
      <c r="H4">
        <v>3</v>
      </c>
      <c r="Q4" s="35">
        <v>7</v>
      </c>
      <c r="R4">
        <v>3</v>
      </c>
      <c r="Y4" s="34" t="s">
        <v>205</v>
      </c>
      <c r="Z4" t="s">
        <v>50</v>
      </c>
      <c r="AA4" t="s">
        <v>206</v>
      </c>
    </row>
    <row r="5" spans="1:27" x14ac:dyDescent="0.25">
      <c r="A5" s="9">
        <v>12</v>
      </c>
      <c r="B5" s="9" t="s">
        <v>11</v>
      </c>
      <c r="C5" s="15" t="s">
        <v>141</v>
      </c>
      <c r="D5" s="35" t="s">
        <v>206</v>
      </c>
      <c r="E5">
        <v>55</v>
      </c>
      <c r="G5" s="35">
        <v>8</v>
      </c>
      <c r="H5">
        <v>3</v>
      </c>
      <c r="Q5" s="35">
        <v>8</v>
      </c>
      <c r="R5">
        <v>3</v>
      </c>
      <c r="Y5" s="35" t="s">
        <v>177</v>
      </c>
      <c r="Z5">
        <v>1</v>
      </c>
      <c r="AA5">
        <v>1</v>
      </c>
    </row>
    <row r="6" spans="1:27" x14ac:dyDescent="0.25">
      <c r="A6" s="9">
        <v>9</v>
      </c>
      <c r="B6" s="9" t="s">
        <v>11</v>
      </c>
      <c r="C6" s="15" t="s">
        <v>150</v>
      </c>
      <c r="G6" s="35">
        <v>9</v>
      </c>
      <c r="H6">
        <v>12</v>
      </c>
      <c r="Q6" s="35">
        <v>9</v>
      </c>
      <c r="R6">
        <v>12</v>
      </c>
      <c r="Y6" s="35" t="s">
        <v>164</v>
      </c>
      <c r="Z6">
        <v>1</v>
      </c>
      <c r="AA6">
        <v>1</v>
      </c>
    </row>
    <row r="7" spans="1:27" x14ac:dyDescent="0.25">
      <c r="A7" s="9">
        <v>8</v>
      </c>
      <c r="B7" s="9" t="s">
        <v>11</v>
      </c>
      <c r="C7" s="15" t="s">
        <v>141</v>
      </c>
      <c r="G7" s="35">
        <v>10</v>
      </c>
      <c r="H7">
        <v>4</v>
      </c>
      <c r="Q7" s="35">
        <v>10</v>
      </c>
      <c r="R7">
        <v>4</v>
      </c>
      <c r="Y7" s="35" t="s">
        <v>171</v>
      </c>
      <c r="Z7">
        <v>1</v>
      </c>
      <c r="AA7">
        <v>1</v>
      </c>
    </row>
    <row r="8" spans="1:27" x14ac:dyDescent="0.25">
      <c r="A8" s="9">
        <v>11</v>
      </c>
      <c r="B8" s="9" t="s">
        <v>11</v>
      </c>
      <c r="C8" s="15" t="s">
        <v>153</v>
      </c>
      <c r="G8" s="35">
        <v>11</v>
      </c>
      <c r="H8">
        <v>6</v>
      </c>
      <c r="Q8" s="35">
        <v>11</v>
      </c>
      <c r="R8">
        <v>6</v>
      </c>
      <c r="Y8" s="35" t="s">
        <v>169</v>
      </c>
      <c r="Z8">
        <v>1</v>
      </c>
      <c r="AA8">
        <v>1</v>
      </c>
    </row>
    <row r="9" spans="1:27" x14ac:dyDescent="0.25">
      <c r="A9" s="9">
        <v>9</v>
      </c>
      <c r="B9" s="9" t="s">
        <v>11</v>
      </c>
      <c r="C9" s="15" t="s">
        <v>155</v>
      </c>
      <c r="G9" s="35">
        <v>12</v>
      </c>
      <c r="H9">
        <v>10</v>
      </c>
      <c r="O9" s="39"/>
      <c r="Q9" s="35">
        <v>12</v>
      </c>
      <c r="R9">
        <v>10</v>
      </c>
      <c r="Y9" s="35" t="s">
        <v>159</v>
      </c>
      <c r="Z9">
        <v>2</v>
      </c>
      <c r="AA9">
        <v>2</v>
      </c>
    </row>
    <row r="10" spans="1:27" x14ac:dyDescent="0.25">
      <c r="A10" s="9">
        <v>9</v>
      </c>
      <c r="B10" s="9" t="s">
        <v>11</v>
      </c>
      <c r="C10" s="15" t="s">
        <v>155</v>
      </c>
      <c r="G10" s="35">
        <v>13</v>
      </c>
      <c r="H10">
        <v>7</v>
      </c>
      <c r="Q10" s="35">
        <v>13</v>
      </c>
      <c r="R10">
        <v>7</v>
      </c>
      <c r="Y10" s="35" t="s">
        <v>179</v>
      </c>
      <c r="Z10">
        <v>1</v>
      </c>
      <c r="AA10">
        <v>1</v>
      </c>
    </row>
    <row r="11" spans="1:27" x14ac:dyDescent="0.25">
      <c r="A11" s="9">
        <v>12</v>
      </c>
      <c r="B11" s="9" t="s">
        <v>50</v>
      </c>
      <c r="C11" s="15" t="s">
        <v>157</v>
      </c>
      <c r="G11" s="35">
        <v>14</v>
      </c>
      <c r="H11">
        <v>6</v>
      </c>
      <c r="Q11" s="35">
        <v>14</v>
      </c>
      <c r="R11">
        <v>6</v>
      </c>
      <c r="Y11" s="35" t="s">
        <v>155</v>
      </c>
      <c r="Z11">
        <v>2</v>
      </c>
      <c r="AA11">
        <v>2</v>
      </c>
    </row>
    <row r="12" spans="1:27" x14ac:dyDescent="0.25">
      <c r="A12" s="9">
        <v>6</v>
      </c>
      <c r="B12" s="9" t="s">
        <v>50</v>
      </c>
      <c r="C12" s="15" t="s">
        <v>159</v>
      </c>
      <c r="G12" s="35" t="s">
        <v>207</v>
      </c>
      <c r="H12">
        <v>55</v>
      </c>
      <c r="Q12" s="35" t="s">
        <v>206</v>
      </c>
      <c r="R12">
        <v>55</v>
      </c>
      <c r="Y12" s="35" t="s">
        <v>162</v>
      </c>
      <c r="Z12">
        <v>1</v>
      </c>
      <c r="AA12">
        <v>1</v>
      </c>
    </row>
    <row r="13" spans="1:27" x14ac:dyDescent="0.25">
      <c r="A13" s="9">
        <v>12</v>
      </c>
      <c r="B13" s="9" t="s">
        <v>11</v>
      </c>
      <c r="C13" s="15" t="s">
        <v>145</v>
      </c>
      <c r="Y13" s="35" t="s">
        <v>195</v>
      </c>
      <c r="Z13">
        <v>1</v>
      </c>
      <c r="AA13">
        <v>1</v>
      </c>
    </row>
    <row r="14" spans="1:27" x14ac:dyDescent="0.25">
      <c r="A14" s="9">
        <v>7</v>
      </c>
      <c r="B14" s="9" t="s">
        <v>50</v>
      </c>
      <c r="C14" s="15" t="s">
        <v>159</v>
      </c>
      <c r="Y14" s="35" t="s">
        <v>193</v>
      </c>
      <c r="Z14">
        <v>1</v>
      </c>
      <c r="AA14">
        <v>1</v>
      </c>
    </row>
    <row r="15" spans="1:27" x14ac:dyDescent="0.25">
      <c r="A15" s="9">
        <v>12</v>
      </c>
      <c r="B15" s="9" t="s">
        <v>11</v>
      </c>
      <c r="C15" s="15" t="s">
        <v>162</v>
      </c>
      <c r="Y15" s="35" t="s">
        <v>141</v>
      </c>
      <c r="Z15">
        <v>1</v>
      </c>
      <c r="AA15">
        <v>1</v>
      </c>
    </row>
    <row r="16" spans="1:27" x14ac:dyDescent="0.25">
      <c r="A16" s="9">
        <v>12</v>
      </c>
      <c r="B16" s="9" t="s">
        <v>11</v>
      </c>
      <c r="C16" s="15" t="s">
        <v>155</v>
      </c>
      <c r="Y16" s="35" t="s">
        <v>157</v>
      </c>
      <c r="Z16">
        <v>2</v>
      </c>
      <c r="AA16">
        <v>2</v>
      </c>
    </row>
    <row r="17" spans="1:27" x14ac:dyDescent="0.25">
      <c r="A17" s="9">
        <v>8</v>
      </c>
      <c r="B17" s="9" t="s">
        <v>11</v>
      </c>
      <c r="C17" s="15" t="s">
        <v>164</v>
      </c>
      <c r="Y17" s="35" t="s">
        <v>206</v>
      </c>
      <c r="Z17">
        <v>15</v>
      </c>
      <c r="AA17">
        <v>15</v>
      </c>
    </row>
    <row r="18" spans="1:27" x14ac:dyDescent="0.25">
      <c r="A18" s="9">
        <v>6</v>
      </c>
      <c r="B18" s="9" t="s">
        <v>11</v>
      </c>
      <c r="C18" s="15" t="s">
        <v>167</v>
      </c>
    </row>
    <row r="19" spans="1:27" x14ac:dyDescent="0.25">
      <c r="A19" s="9">
        <v>7</v>
      </c>
      <c r="B19" s="9" t="s">
        <v>50</v>
      </c>
      <c r="C19" s="15" t="s">
        <v>169</v>
      </c>
    </row>
    <row r="20" spans="1:27" x14ac:dyDescent="0.25">
      <c r="A20" s="9">
        <v>14</v>
      </c>
      <c r="B20" s="9" t="s">
        <v>11</v>
      </c>
      <c r="C20" s="15" t="s">
        <v>171</v>
      </c>
    </row>
    <row r="21" spans="1:27" x14ac:dyDescent="0.25">
      <c r="A21" s="9">
        <v>10</v>
      </c>
      <c r="B21" s="9" t="s">
        <v>11</v>
      </c>
      <c r="C21" s="15" t="s">
        <v>169</v>
      </c>
    </row>
    <row r="22" spans="1:27" x14ac:dyDescent="0.25">
      <c r="A22" s="9">
        <v>13</v>
      </c>
      <c r="B22" s="9" t="s">
        <v>11</v>
      </c>
      <c r="C22" s="15" t="s">
        <v>173</v>
      </c>
    </row>
    <row r="23" spans="1:27" x14ac:dyDescent="0.25">
      <c r="A23" s="9">
        <v>11</v>
      </c>
      <c r="B23" s="9" t="s">
        <v>11</v>
      </c>
      <c r="C23" s="15" t="s">
        <v>175</v>
      </c>
    </row>
    <row r="24" spans="1:27" x14ac:dyDescent="0.25">
      <c r="A24" s="9">
        <v>11</v>
      </c>
      <c r="B24" s="9" t="s">
        <v>11</v>
      </c>
      <c r="C24" s="15" t="s">
        <v>177</v>
      </c>
    </row>
    <row r="25" spans="1:27" x14ac:dyDescent="0.25">
      <c r="A25" s="9">
        <v>8</v>
      </c>
      <c r="B25" s="9" t="s">
        <v>50</v>
      </c>
      <c r="C25" s="15" t="s">
        <v>179</v>
      </c>
    </row>
    <row r="26" spans="1:27" x14ac:dyDescent="0.25">
      <c r="A26" s="9">
        <v>6</v>
      </c>
      <c r="B26" s="9" t="s">
        <v>50</v>
      </c>
      <c r="C26" s="15" t="s">
        <v>155</v>
      </c>
    </row>
    <row r="27" spans="1:27" x14ac:dyDescent="0.25">
      <c r="A27" s="9">
        <v>11</v>
      </c>
      <c r="B27" s="9" t="s">
        <v>11</v>
      </c>
      <c r="C27" s="15" t="s">
        <v>157</v>
      </c>
    </row>
    <row r="28" spans="1:27" x14ac:dyDescent="0.25">
      <c r="A28" s="9">
        <v>12</v>
      </c>
      <c r="B28" s="9" t="s">
        <v>11</v>
      </c>
      <c r="C28" s="15" t="s">
        <v>155</v>
      </c>
    </row>
    <row r="29" spans="1:27" x14ac:dyDescent="0.25">
      <c r="A29" s="9">
        <v>11</v>
      </c>
      <c r="B29" s="9" t="s">
        <v>50</v>
      </c>
      <c r="C29" s="15" t="s">
        <v>157</v>
      </c>
    </row>
    <row r="30" spans="1:27" x14ac:dyDescent="0.25">
      <c r="A30" s="9">
        <v>10</v>
      </c>
      <c r="B30" s="9" t="s">
        <v>50</v>
      </c>
      <c r="C30" s="15" t="s">
        <v>141</v>
      </c>
    </row>
    <row r="31" spans="1:27" x14ac:dyDescent="0.25">
      <c r="A31" s="9">
        <v>13</v>
      </c>
      <c r="B31" s="9" t="s">
        <v>11</v>
      </c>
      <c r="C31" s="15" t="s">
        <v>145</v>
      </c>
    </row>
    <row r="32" spans="1:27" x14ac:dyDescent="0.25">
      <c r="A32" s="9">
        <v>9</v>
      </c>
      <c r="B32" s="9" t="s">
        <v>50</v>
      </c>
      <c r="C32" s="15" t="s">
        <v>171</v>
      </c>
    </row>
    <row r="33" spans="1:3" x14ac:dyDescent="0.25">
      <c r="A33" s="9">
        <v>6</v>
      </c>
      <c r="B33" s="9" t="s">
        <v>50</v>
      </c>
      <c r="C33" s="15" t="s">
        <v>177</v>
      </c>
    </row>
    <row r="34" spans="1:3" x14ac:dyDescent="0.25">
      <c r="A34" s="9">
        <v>14</v>
      </c>
      <c r="B34" s="9" t="s">
        <v>11</v>
      </c>
      <c r="C34" s="15" t="s">
        <v>185</v>
      </c>
    </row>
    <row r="35" spans="1:3" x14ac:dyDescent="0.25">
      <c r="A35" s="9">
        <v>13</v>
      </c>
      <c r="B35" s="9" t="s">
        <v>11</v>
      </c>
      <c r="C35" s="15" t="s">
        <v>188</v>
      </c>
    </row>
    <row r="36" spans="1:3" x14ac:dyDescent="0.25">
      <c r="A36" s="9">
        <v>9</v>
      </c>
      <c r="B36" s="9" t="s">
        <v>11</v>
      </c>
      <c r="C36" s="15" t="s">
        <v>164</v>
      </c>
    </row>
    <row r="37" spans="1:3" x14ac:dyDescent="0.25">
      <c r="A37" s="9">
        <v>11</v>
      </c>
      <c r="B37" s="9" t="s">
        <v>50</v>
      </c>
      <c r="C37" s="15" t="s">
        <v>162</v>
      </c>
    </row>
    <row r="38" spans="1:3" x14ac:dyDescent="0.25">
      <c r="A38" s="9">
        <v>14</v>
      </c>
      <c r="B38" s="9" t="s">
        <v>11</v>
      </c>
      <c r="C38" s="15" t="s">
        <v>155</v>
      </c>
    </row>
    <row r="39" spans="1:3" x14ac:dyDescent="0.25">
      <c r="A39" s="9">
        <v>13</v>
      </c>
      <c r="B39" s="9" t="s">
        <v>11</v>
      </c>
      <c r="C39" s="15" t="s">
        <v>162</v>
      </c>
    </row>
    <row r="40" spans="1:3" x14ac:dyDescent="0.25">
      <c r="A40" s="9">
        <v>10</v>
      </c>
      <c r="B40" s="9" t="s">
        <v>11</v>
      </c>
      <c r="C40" s="15" t="s">
        <v>155</v>
      </c>
    </row>
    <row r="41" spans="1:3" x14ac:dyDescent="0.25">
      <c r="A41" s="9">
        <v>12</v>
      </c>
      <c r="B41" s="9" t="s">
        <v>11</v>
      </c>
      <c r="C41" s="15" t="s">
        <v>155</v>
      </c>
    </row>
    <row r="42" spans="1:3" x14ac:dyDescent="0.25">
      <c r="A42" s="9">
        <v>9</v>
      </c>
      <c r="B42" s="9" t="s">
        <v>11</v>
      </c>
      <c r="C42" s="15" t="s">
        <v>167</v>
      </c>
    </row>
    <row r="43" spans="1:3" x14ac:dyDescent="0.25">
      <c r="A43" s="9">
        <v>13</v>
      </c>
      <c r="B43" s="9" t="s">
        <v>11</v>
      </c>
      <c r="C43" s="15" t="s">
        <v>155</v>
      </c>
    </row>
    <row r="44" spans="1:3" x14ac:dyDescent="0.25">
      <c r="A44" s="9">
        <v>9</v>
      </c>
      <c r="B44" s="9" t="s">
        <v>50</v>
      </c>
      <c r="C44" s="15" t="s">
        <v>155</v>
      </c>
    </row>
    <row r="45" spans="1:3" x14ac:dyDescent="0.25">
      <c r="A45" s="9">
        <v>12</v>
      </c>
      <c r="B45" s="9" t="s">
        <v>11</v>
      </c>
      <c r="C45" s="15" t="s">
        <v>162</v>
      </c>
    </row>
    <row r="46" spans="1:3" x14ac:dyDescent="0.25">
      <c r="A46" s="9">
        <v>9</v>
      </c>
      <c r="B46" s="9" t="s">
        <v>11</v>
      </c>
      <c r="C46" s="15" t="s">
        <v>169</v>
      </c>
    </row>
    <row r="47" spans="1:3" x14ac:dyDescent="0.25">
      <c r="A47" s="9">
        <v>13</v>
      </c>
      <c r="B47" s="9" t="s">
        <v>11</v>
      </c>
      <c r="C47" s="15" t="s">
        <v>162</v>
      </c>
    </row>
    <row r="48" spans="1:3" x14ac:dyDescent="0.25">
      <c r="A48" s="9">
        <v>9</v>
      </c>
      <c r="B48" s="9" t="s">
        <v>50</v>
      </c>
      <c r="C48" s="15" t="s">
        <v>193</v>
      </c>
    </row>
    <row r="49" spans="1:3" x14ac:dyDescent="0.25">
      <c r="A49" s="9">
        <v>14</v>
      </c>
      <c r="B49" s="9" t="s">
        <v>50</v>
      </c>
      <c r="C49" s="15" t="s">
        <v>195</v>
      </c>
    </row>
    <row r="50" spans="1:3" x14ac:dyDescent="0.25">
      <c r="A50" s="9">
        <v>14</v>
      </c>
      <c r="B50" s="9" t="s">
        <v>11</v>
      </c>
      <c r="C50" s="15" t="s">
        <v>197</v>
      </c>
    </row>
    <row r="51" spans="1:3" x14ac:dyDescent="0.25">
      <c r="A51" s="12">
        <v>7</v>
      </c>
      <c r="B51" s="9" t="s">
        <v>11</v>
      </c>
      <c r="C51" s="15" t="s">
        <v>155</v>
      </c>
    </row>
    <row r="52" spans="1:3" x14ac:dyDescent="0.25">
      <c r="A52" s="15">
        <v>12</v>
      </c>
      <c r="B52" s="9" t="s">
        <v>11</v>
      </c>
      <c r="C52" s="15" t="s">
        <v>185</v>
      </c>
    </row>
    <row r="53" spans="1:3" x14ac:dyDescent="0.25">
      <c r="A53" s="15">
        <v>14</v>
      </c>
      <c r="B53" s="9" t="s">
        <v>11</v>
      </c>
      <c r="C53" s="15" t="s">
        <v>164</v>
      </c>
    </row>
    <row r="54" spans="1:3" x14ac:dyDescent="0.25">
      <c r="A54" s="15">
        <v>9</v>
      </c>
      <c r="B54" s="9" t="s">
        <v>11</v>
      </c>
      <c r="C54" s="15" t="s">
        <v>157</v>
      </c>
    </row>
    <row r="55" spans="1:3" x14ac:dyDescent="0.25">
      <c r="A55" s="17">
        <v>13</v>
      </c>
      <c r="B55" s="17" t="s">
        <v>50</v>
      </c>
      <c r="C55" s="17" t="s">
        <v>164</v>
      </c>
    </row>
    <row r="56" spans="1:3" x14ac:dyDescent="0.25">
      <c r="A56" s="12">
        <v>9</v>
      </c>
      <c r="B56" s="9" t="s">
        <v>11</v>
      </c>
      <c r="C56" s="17" t="s">
        <v>193</v>
      </c>
    </row>
  </sheetData>
  <pageMargins left="0.7" right="0.7" top="0.75" bottom="0.75" header="0.3" footer="0.3"/>
  <drawing r:id="rId5"/>
  <tableParts count="1"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A1E936C8AF7044C86AE97AE2115912D" ma:contentTypeVersion="4" ma:contentTypeDescription="Crear nuevo documento." ma:contentTypeScope="" ma:versionID="09949b7a4a78b77b9e2e5f387556763a">
  <xsd:schema xmlns:xsd="http://www.w3.org/2001/XMLSchema" xmlns:xs="http://www.w3.org/2001/XMLSchema" xmlns:p="http://schemas.microsoft.com/office/2006/metadata/properties" xmlns:ns2="ddef2f66-d908-4f14-aa85-475cb995111f" targetNamespace="http://schemas.microsoft.com/office/2006/metadata/properties" ma:root="true" ma:fieldsID="871e446ede2df260f9f91dc8442d91a6" ns2:_="">
    <xsd:import namespace="ddef2f66-d908-4f14-aa85-475cb9951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2f66-d908-4f14-aa85-475cb99511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7E52A4-A448-441B-BB27-2981BDB7C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ef2f66-d908-4f14-aa85-475cb99511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B70D4E-3BD0-48C2-9FAD-AA8E4127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A68F55-527F-4479-892F-41233654190E}">
  <ds:schemaRefs>
    <ds:schemaRef ds:uri="http://purl.org/dc/terms/"/>
    <ds:schemaRef ds:uri="ddef2f66-d908-4f14-aa85-475cb995111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Hoja2</vt:lpstr>
      <vt:lpstr>RESULTADSO</vt:lpstr>
      <vt:lpstr>r</vt:lpstr>
      <vt:lpstr>Hoja5</vt:lpstr>
      <vt:lpstr>Hoja3</vt:lpstr>
      <vt:lpstr>Caracterización (2)</vt:lpstr>
      <vt:lpstr>Pacientes</vt:lpstr>
      <vt:lpstr>Caracterización</vt:lpstr>
      <vt:lpstr>Tablas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Alejandra Ariza</dc:creator>
  <cp:keywords/>
  <dc:description/>
  <cp:lastModifiedBy>Maria Alejandra Ariza Ladino</cp:lastModifiedBy>
  <cp:revision/>
  <dcterms:created xsi:type="dcterms:W3CDTF">2023-07-09T17:48:12Z</dcterms:created>
  <dcterms:modified xsi:type="dcterms:W3CDTF">2024-09-23T18:38:11Z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0x0101000A1E936C8AF7044C86AE97AE2115912D</vt:lpwstr>
  </property>
</Properties>
</file>