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https://unicoceduco-my.sharepoint.com/personal/direccionbiblioteca_unicoc_edu_co/Documents/SIBU/Administración/Gestion Repositorio/Poblamiento de RI-Unicoc/Inventario Trabajos de grado/BOGOTÁ/CACE/Negocios/TNE 001/"/>
    </mc:Choice>
  </mc:AlternateContent>
  <xr:revisionPtr revIDLastSave="0" documentId="8_{79C8F72F-A06B-4237-8A3D-2ADB84FCEEC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finanzas papas nativas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66" i="2" l="1"/>
  <c r="M66" i="2" s="1"/>
  <c r="F30" i="2" l="1"/>
  <c r="G30" i="2" s="1"/>
  <c r="G34" i="2"/>
  <c r="M6" i="2"/>
  <c r="H34" i="2" l="1"/>
  <c r="H30" i="2"/>
  <c r="I30" i="2" l="1"/>
  <c r="I34" i="2"/>
  <c r="J34" i="2" l="1"/>
  <c r="J30" i="2"/>
  <c r="I12" i="2"/>
  <c r="I11" i="2"/>
  <c r="I10" i="2"/>
  <c r="I13" i="2" s="1"/>
  <c r="K42" i="2" s="1"/>
  <c r="H36" i="2"/>
  <c r="H40" i="2" s="1"/>
  <c r="G36" i="2"/>
  <c r="G40" i="2" s="1"/>
  <c r="F26" i="2"/>
  <c r="J26" i="2"/>
  <c r="K36" i="2" s="1"/>
  <c r="K40" i="2" s="1"/>
  <c r="I26" i="2"/>
  <c r="J36" i="2" s="1"/>
  <c r="J40" i="2" s="1"/>
  <c r="H26" i="2"/>
  <c r="I36" i="2" s="1"/>
  <c r="I40" i="2" s="1"/>
  <c r="G26" i="2"/>
  <c r="N44" i="2" l="1"/>
  <c r="N39" i="2"/>
  <c r="N27" i="2"/>
  <c r="O19" i="2"/>
  <c r="N15" i="2"/>
  <c r="M7" i="2"/>
  <c r="M5" i="2"/>
  <c r="L55" i="2"/>
  <c r="K50" i="2" s="1"/>
  <c r="J53" i="2"/>
  <c r="H77" i="2"/>
  <c r="G77" i="2"/>
  <c r="F77" i="2"/>
  <c r="E77" i="2"/>
  <c r="D77" i="2"/>
  <c r="C77" i="2"/>
  <c r="N29" i="2" s="1"/>
  <c r="O25" i="2" l="1"/>
  <c r="O24" i="2"/>
  <c r="O27" i="2" s="1"/>
  <c r="O26" i="2"/>
  <c r="O38" i="2"/>
  <c r="O34" i="2"/>
  <c r="O39" i="2" s="1"/>
  <c r="O37" i="2"/>
  <c r="O35" i="2"/>
  <c r="O36" i="2"/>
  <c r="O42" i="2"/>
  <c r="O41" i="2"/>
  <c r="O43" i="2"/>
  <c r="I17" i="2"/>
  <c r="K43" i="2" s="1"/>
  <c r="M8" i="2"/>
  <c r="N5" i="2" s="1"/>
  <c r="N31" i="2"/>
  <c r="O29" i="2" s="1"/>
  <c r="C57" i="2"/>
  <c r="C53" i="2"/>
  <c r="C49" i="2"/>
  <c r="C60" i="2"/>
  <c r="C56" i="2"/>
  <c r="C52" i="2"/>
  <c r="C59" i="2"/>
  <c r="C55" i="2"/>
  <c r="C51" i="2"/>
  <c r="C58" i="2"/>
  <c r="C54" i="2"/>
  <c r="C50" i="2"/>
  <c r="K53" i="2"/>
  <c r="L50" i="2"/>
  <c r="N45" i="2" l="1"/>
  <c r="F41" i="2" s="1"/>
  <c r="F44" i="2" s="1"/>
  <c r="N7" i="2"/>
  <c r="D6" i="2"/>
  <c r="N6" i="2"/>
  <c r="N8" i="2" s="1"/>
  <c r="I6" i="2"/>
  <c r="K35" i="2" s="1"/>
  <c r="E6" i="2"/>
  <c r="G35" i="2" s="1"/>
  <c r="H6" i="2"/>
  <c r="J35" i="2" s="1"/>
  <c r="F6" i="2"/>
  <c r="H35" i="2" s="1"/>
  <c r="G6" i="2"/>
  <c r="I35" i="2" s="1"/>
  <c r="O44" i="2"/>
  <c r="D60" i="2"/>
  <c r="D56" i="2"/>
  <c r="D52" i="2"/>
  <c r="D59" i="2"/>
  <c r="D55" i="2"/>
  <c r="D51" i="2"/>
  <c r="D58" i="2"/>
  <c r="D54" i="2"/>
  <c r="D50" i="2"/>
  <c r="D57" i="2"/>
  <c r="D53" i="2"/>
  <c r="D49" i="2"/>
  <c r="C61" i="2"/>
  <c r="D5" i="2" s="1"/>
  <c r="M50" i="2"/>
  <c r="L53" i="2"/>
  <c r="E59" i="2" l="1"/>
  <c r="E55" i="2"/>
  <c r="E51" i="2"/>
  <c r="E58" i="2"/>
  <c r="E54" i="2"/>
  <c r="E50" i="2"/>
  <c r="E57" i="2"/>
  <c r="E53" i="2"/>
  <c r="E49" i="2"/>
  <c r="E60" i="2"/>
  <c r="E56" i="2"/>
  <c r="E52" i="2"/>
  <c r="D61" i="2"/>
  <c r="E5" i="2" s="1"/>
  <c r="G33" i="2" s="1"/>
  <c r="N50" i="2"/>
  <c r="M53" i="2"/>
  <c r="G37" i="2" l="1"/>
  <c r="G38" i="2" s="1"/>
  <c r="G39" i="2" s="1"/>
  <c r="G44" i="2"/>
  <c r="E61" i="2"/>
  <c r="F5" i="2" s="1"/>
  <c r="H33" i="2" s="1"/>
  <c r="F58" i="2"/>
  <c r="F54" i="2"/>
  <c r="F50" i="2"/>
  <c r="F57" i="2"/>
  <c r="F53" i="2"/>
  <c r="F49" i="2"/>
  <c r="F60" i="2"/>
  <c r="F56" i="2"/>
  <c r="F52" i="2"/>
  <c r="F59" i="2"/>
  <c r="F55" i="2"/>
  <c r="F51" i="2"/>
  <c r="O50" i="2"/>
  <c r="O53" i="2" s="1"/>
  <c r="N53" i="2"/>
  <c r="H37" i="2" l="1"/>
  <c r="G57" i="2"/>
  <c r="G53" i="2"/>
  <c r="G49" i="2"/>
  <c r="G60" i="2"/>
  <c r="G56" i="2"/>
  <c r="G52" i="2"/>
  <c r="G59" i="2"/>
  <c r="G55" i="2"/>
  <c r="G51" i="2"/>
  <c r="G58" i="2"/>
  <c r="G54" i="2"/>
  <c r="G50" i="2"/>
  <c r="H60" i="2"/>
  <c r="H56" i="2"/>
  <c r="H52" i="2"/>
  <c r="H59" i="2"/>
  <c r="H55" i="2"/>
  <c r="H51" i="2"/>
  <c r="H58" i="2"/>
  <c r="H54" i="2"/>
  <c r="H50" i="2"/>
  <c r="H57" i="2"/>
  <c r="H53" i="2"/>
  <c r="H49" i="2"/>
  <c r="F61" i="2"/>
  <c r="G5" i="2" s="1"/>
  <c r="I33" i="2" s="1"/>
  <c r="I37" i="2" s="1"/>
  <c r="I38" i="2" s="1"/>
  <c r="I44" i="2" s="1"/>
  <c r="H38" i="2" l="1"/>
  <c r="H39" i="2" s="1"/>
  <c r="H44" i="2" s="1"/>
  <c r="I39" i="2"/>
  <c r="H61" i="2"/>
  <c r="I5" i="2" s="1"/>
  <c r="G61" i="2"/>
  <c r="H5" i="2" s="1"/>
  <c r="J33" i="2" s="1"/>
  <c r="J37" i="2" l="1"/>
  <c r="J44" i="2"/>
  <c r="K34" i="2"/>
  <c r="K33" i="2"/>
  <c r="J38" i="2"/>
  <c r="J39" i="2" s="1"/>
  <c r="K37" i="2" l="1"/>
  <c r="K38" i="2" s="1"/>
  <c r="K39" i="2" s="1"/>
  <c r="K44" i="2" l="1"/>
  <c r="K59" i="2" l="1"/>
  <c r="K60" i="2"/>
  <c r="K62" i="2" l="1"/>
  <c r="K61" i="2"/>
</calcChain>
</file>

<file path=xl/sharedStrings.xml><?xml version="1.0" encoding="utf-8"?>
<sst xmlns="http://schemas.openxmlformats.org/spreadsheetml/2006/main" count="178" uniqueCount="86">
  <si>
    <t>DATOS DE SALIDA</t>
  </si>
  <si>
    <t>ingresos</t>
  </si>
  <si>
    <t>+</t>
  </si>
  <si>
    <t>costos variables</t>
  </si>
  <si>
    <t>-</t>
  </si>
  <si>
    <t xml:space="preserve">costos fijos </t>
  </si>
  <si>
    <t>depreciacion</t>
  </si>
  <si>
    <t>=</t>
  </si>
  <si>
    <t>impuestos</t>
  </si>
  <si>
    <t xml:space="preserve">valor residual </t>
  </si>
  <si>
    <t xml:space="preserve">flujo de caja operacional </t>
  </si>
  <si>
    <t>ingresos por ventas</t>
  </si>
  <si>
    <t>costos fijos</t>
  </si>
  <si>
    <t>año 1</t>
  </si>
  <si>
    <t>año 2</t>
  </si>
  <si>
    <t>año 3</t>
  </si>
  <si>
    <t>año 4</t>
  </si>
  <si>
    <t>año 5</t>
  </si>
  <si>
    <t>DEPRECIACIONES</t>
  </si>
  <si>
    <t>presupuesto de reposicion maquinarias y equipos</t>
  </si>
  <si>
    <t>recuperacion del capital de trabajo</t>
  </si>
  <si>
    <t>inversiones total</t>
  </si>
  <si>
    <t>año 0</t>
  </si>
  <si>
    <t>recuperacion capital de trabajo</t>
  </si>
  <si>
    <t>utilidad despues de impuestos</t>
  </si>
  <si>
    <t>utilidad antes de impuestos</t>
  </si>
  <si>
    <t>impuestos del 34%</t>
  </si>
  <si>
    <t>Presupuesto de ventas esperadas por año</t>
  </si>
  <si>
    <t xml:space="preserve">Enero 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</si>
  <si>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</si>
  <si>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</si>
  <si>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</si>
  <si>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</si>
  <si>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</si>
  <si>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</si>
  <si>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</si>
  <si>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</si>
  <si>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</si>
  <si>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</si>
  <si>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</si>
  <si>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Presupuesto de bultos vendidos por año</t>
  </si>
  <si>
    <t>Presupuesto de clientes esperados por año</t>
  </si>
  <si>
    <t xml:space="preserve">valor por kilogramo </t>
  </si>
  <si>
    <t>año5</t>
  </si>
  <si>
    <t>valor por bulto 50 kg</t>
  </si>
  <si>
    <t>INCREMENTO PAPA</t>
  </si>
  <si>
    <t xml:space="preserve">transporte anual </t>
  </si>
  <si>
    <t>nomina</t>
  </si>
  <si>
    <t>arriendo</t>
  </si>
  <si>
    <t>TOTAL COSTOS FIJOS</t>
  </si>
  <si>
    <t>semilla</t>
  </si>
  <si>
    <t>requerimiento de personal</t>
  </si>
  <si>
    <t>Cargo</t>
  </si>
  <si>
    <t>salario</t>
  </si>
  <si>
    <t>Gerente administrativo</t>
  </si>
  <si>
    <t>auxiliar cargue y descargue</t>
  </si>
  <si>
    <t>presupuesto cuantitativo de compras semilla por hectarea</t>
  </si>
  <si>
    <t>descripcion</t>
  </si>
  <si>
    <t>cantidad</t>
  </si>
  <si>
    <t>precio unitario</t>
  </si>
  <si>
    <t>total</t>
  </si>
  <si>
    <t>semilla bulto x 50 kg</t>
  </si>
  <si>
    <t>materia prima</t>
  </si>
  <si>
    <t>activos fijos</t>
  </si>
  <si>
    <t>valor</t>
  </si>
  <si>
    <t>motocarguero</t>
  </si>
  <si>
    <t>balanza piso 300 kg</t>
  </si>
  <si>
    <t>material oficina</t>
  </si>
  <si>
    <t>publicidad</t>
  </si>
  <si>
    <t>inversiones totales</t>
  </si>
  <si>
    <t>computador</t>
  </si>
  <si>
    <t>GASTOS</t>
  </si>
  <si>
    <t>COSTOS</t>
  </si>
  <si>
    <t>luz</t>
  </si>
  <si>
    <t>internet</t>
  </si>
  <si>
    <t>telefono</t>
  </si>
  <si>
    <t>capital trabajo</t>
  </si>
  <si>
    <t>VPN</t>
  </si>
  <si>
    <t>TIR</t>
  </si>
  <si>
    <t>TIO</t>
  </si>
  <si>
    <t>VPF</t>
  </si>
  <si>
    <t>RBC</t>
  </si>
  <si>
    <t>porcentaje</t>
  </si>
  <si>
    <t>gasolina</t>
  </si>
  <si>
    <t>costo unidad</t>
  </si>
  <si>
    <t>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</si>
</sst>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&quot;$&quot;\ #,##0.00_);[Red]\(&quot;$&quot;\ #,##0.00\)"/>
    <numFmt numFmtId="165" formatCode="_(&quot;$&quot;\ * #,##0.00_);_(&quot;$&quot;\ * \(#,##0.00\);_(&quot;$&quot;\ * &quot;-&quot;??_);_(@_)"/>
    <numFmt numFmtId="166" formatCode="_(* #,##0.00_);_(* \(#,##0.00\);_(* &quot;-&quot;??_);_(@_)"/>
    <numFmt numFmtId="167" formatCode="_-&quot;$&quot;* #,##0_-;\-&quot;$&quot;* #,##0_-;_-&quot;$&quot;* &quot;-&quot;_-;_-@_-"/>
    <numFmt numFmtId="168" formatCode="0.0"/>
    <numFmt numFmtId="169" formatCode="_-&quot;$&quot;* #,##0.000_-;\-&quot;$&quot;* #,##0.000_-;_-&quot;$&quot;* &quot;-&quot;_-;_-@_-"/>
    <numFmt numFmtId="170" formatCode="_-&quot;$&quot;* #,##0.0000_-;\-&quot;$&quot;* #,##0.0000_-;_-&quot;$&quot;* &quot;-&quot;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167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03">
    <xf numFmtId="0" fontId="0" fillId="0" borderId="0" xfId="0"/>
    <xf numFmtId="0" fontId="0" fillId="0" borderId="1" xfId="0" applyBorder="1" applyAlignment="1">
      <alignment horizontal="center"/>
    </xf>
    <xf numFmtId="3" fontId="0" fillId="0" borderId="1" xfId="0" applyNumberFormat="1" applyBorder="1"/>
    <xf numFmtId="0" fontId="0" fillId="0" borderId="1" xfId="0" applyBorder="1"/>
    <xf numFmtId="0" fontId="0" fillId="0" borderId="2" xfId="0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4" xfId="0" applyBorder="1"/>
    <xf numFmtId="167" fontId="0" fillId="0" borderId="0" xfId="0" applyNumberFormat="1"/>
    <xf numFmtId="167" fontId="0" fillId="0" borderId="0" xfId="1" applyFont="1" applyBorder="1"/>
    <xf numFmtId="0" fontId="0" fillId="0" borderId="15" xfId="0" applyBorder="1"/>
    <xf numFmtId="167" fontId="0" fillId="0" borderId="16" xfId="1" applyFont="1" applyBorder="1"/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  <xf numFmtId="165" fontId="0" fillId="0" borderId="0" xfId="3" applyFont="1" applyBorder="1"/>
    <xf numFmtId="0" fontId="0" fillId="0" borderId="5" xfId="0" applyBorder="1"/>
    <xf numFmtId="10" fontId="0" fillId="0" borderId="6" xfId="0" applyNumberFormat="1" applyBorder="1"/>
    <xf numFmtId="0" fontId="0" fillId="0" borderId="7" xfId="0" applyBorder="1"/>
    <xf numFmtId="165" fontId="0" fillId="0" borderId="13" xfId="0" applyNumberFormat="1" applyBorder="1"/>
    <xf numFmtId="0" fontId="0" fillId="0" borderId="0" xfId="0" applyAlignment="1">
      <alignment horizontal="center" wrapText="1"/>
    </xf>
    <xf numFmtId="165" fontId="0" fillId="0" borderId="0" xfId="3" applyFont="1" applyFill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165" fontId="0" fillId="0" borderId="1" xfId="3" applyFont="1" applyFill="1" applyBorder="1" applyAlignment="1">
      <alignment horizontal="center" wrapText="1"/>
    </xf>
    <xf numFmtId="165" fontId="0" fillId="0" borderId="1" xfId="0" applyNumberFormat="1" applyBorder="1"/>
    <xf numFmtId="0" fontId="3" fillId="0" borderId="8" xfId="0" applyFont="1" applyBorder="1"/>
    <xf numFmtId="0" fontId="3" fillId="0" borderId="25" xfId="0" applyFont="1" applyBorder="1"/>
    <xf numFmtId="0" fontId="3" fillId="0" borderId="26" xfId="0" applyFont="1" applyBorder="1"/>
    <xf numFmtId="165" fontId="3" fillId="0" borderId="26" xfId="0" applyNumberFormat="1" applyFont="1" applyBorder="1"/>
    <xf numFmtId="0" fontId="3" fillId="0" borderId="1" xfId="0" applyFont="1" applyBorder="1"/>
    <xf numFmtId="0" fontId="0" fillId="0" borderId="8" xfId="0" applyBorder="1" applyAlignment="1">
      <alignment horizontal="center"/>
    </xf>
    <xf numFmtId="0" fontId="0" fillId="0" borderId="26" xfId="0" applyBorder="1" applyAlignment="1">
      <alignment horizontal="center"/>
    </xf>
    <xf numFmtId="165" fontId="0" fillId="2" borderId="0" xfId="0" applyNumberFormat="1" applyFill="1"/>
    <xf numFmtId="165" fontId="0" fillId="0" borderId="0" xfId="0" applyNumberFormat="1"/>
    <xf numFmtId="167" fontId="0" fillId="0" borderId="0" xfId="1" applyFont="1" applyFill="1" applyBorder="1"/>
    <xf numFmtId="9" fontId="0" fillId="0" borderId="0" xfId="0" applyNumberFormat="1"/>
    <xf numFmtId="9" fontId="0" fillId="0" borderId="11" xfId="0" applyNumberFormat="1" applyBorder="1"/>
    <xf numFmtId="9" fontId="0" fillId="0" borderId="16" xfId="0" applyNumberFormat="1" applyBorder="1"/>
    <xf numFmtId="164" fontId="0" fillId="0" borderId="16" xfId="0" applyNumberFormat="1" applyBorder="1"/>
    <xf numFmtId="165" fontId="0" fillId="0" borderId="1" xfId="3" applyFont="1" applyFill="1" applyBorder="1"/>
    <xf numFmtId="0" fontId="0" fillId="0" borderId="8" xfId="0" applyBorder="1" applyAlignment="1">
      <alignment horizontal="center" wrapText="1"/>
    </xf>
    <xf numFmtId="0" fontId="0" fillId="0" borderId="26" xfId="0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0" fillId="0" borderId="1" xfId="0" applyBorder="1" applyAlignment="1">
      <alignment wrapText="1"/>
    </xf>
    <xf numFmtId="165" fontId="0" fillId="0" borderId="1" xfId="3" applyFont="1" applyFill="1" applyBorder="1" applyAlignment="1">
      <alignment wrapText="1"/>
    </xf>
    <xf numFmtId="0" fontId="0" fillId="0" borderId="1" xfId="0" applyBorder="1" applyAlignment="1">
      <alignment horizontal="left"/>
    </xf>
    <xf numFmtId="165" fontId="0" fillId="0" borderId="1" xfId="3" applyFont="1" applyFill="1" applyBorder="1" applyAlignment="1"/>
    <xf numFmtId="165" fontId="3" fillId="0" borderId="26" xfId="0" applyNumberFormat="1" applyFont="1" applyBorder="1" applyAlignment="1">
      <alignment horizontal="center"/>
    </xf>
    <xf numFmtId="9" fontId="2" fillId="0" borderId="0" xfId="0" applyNumberFormat="1" applyFont="1" applyAlignment="1">
      <alignment horizontal="center"/>
    </xf>
    <xf numFmtId="0" fontId="0" fillId="0" borderId="16" xfId="0" applyBorder="1"/>
    <xf numFmtId="167" fontId="0" fillId="0" borderId="13" xfId="1" applyFont="1" applyFill="1" applyBorder="1"/>
    <xf numFmtId="9" fontId="2" fillId="0" borderId="12" xfId="0" applyNumberFormat="1" applyFont="1" applyBorder="1" applyAlignment="1">
      <alignment horizontal="center"/>
    </xf>
    <xf numFmtId="0" fontId="0" fillId="0" borderId="13" xfId="0" applyBorder="1"/>
    <xf numFmtId="167" fontId="0" fillId="0" borderId="1" xfId="1" applyFont="1" applyFill="1" applyBorder="1"/>
    <xf numFmtId="3" fontId="0" fillId="0" borderId="5" xfId="0" applyNumberFormat="1" applyBorder="1" applyAlignment="1">
      <alignment horizontal="center"/>
    </xf>
    <xf numFmtId="3" fontId="0" fillId="0" borderId="6" xfId="0" applyNumberFormat="1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165" fontId="0" fillId="0" borderId="4" xfId="3" applyFont="1" applyFill="1" applyBorder="1"/>
    <xf numFmtId="165" fontId="0" fillId="0" borderId="1" xfId="0" applyNumberFormat="1" applyBorder="1" applyAlignment="1">
      <alignment horizontal="center"/>
    </xf>
    <xf numFmtId="0" fontId="0" fillId="0" borderId="1" xfId="2" applyNumberFormat="1" applyFont="1" applyFill="1" applyBorder="1" applyAlignment="1"/>
    <xf numFmtId="0" fontId="0" fillId="0" borderId="1" xfId="2" applyNumberFormat="1" applyFont="1" applyFill="1" applyBorder="1" applyAlignment="1">
      <alignment horizontal="center"/>
    </xf>
    <xf numFmtId="165" fontId="3" fillId="0" borderId="1" xfId="3" applyFont="1" applyFill="1" applyBorder="1" applyAlignment="1">
      <alignment horizontal="center"/>
    </xf>
    <xf numFmtId="165" fontId="3" fillId="0" borderId="1" xfId="3" applyFont="1" applyFill="1" applyBorder="1" applyAlignment="1"/>
    <xf numFmtId="0" fontId="0" fillId="0" borderId="1" xfId="3" applyNumberFormat="1" applyFont="1" applyFill="1" applyBorder="1"/>
    <xf numFmtId="0" fontId="0" fillId="0" borderId="2" xfId="3" applyNumberFormat="1" applyFont="1" applyFill="1" applyBorder="1"/>
    <xf numFmtId="168" fontId="0" fillId="0" borderId="1" xfId="0" applyNumberFormat="1" applyBorder="1"/>
    <xf numFmtId="168" fontId="0" fillId="0" borderId="1" xfId="4" applyNumberFormat="1" applyFont="1" applyBorder="1"/>
    <xf numFmtId="165" fontId="3" fillId="0" borderId="1" xfId="3" applyFont="1" applyFill="1" applyBorder="1" applyAlignment="1">
      <alignment wrapText="1"/>
    </xf>
    <xf numFmtId="165" fontId="3" fillId="0" borderId="1" xfId="0" applyNumberFormat="1" applyFont="1" applyBorder="1"/>
    <xf numFmtId="168" fontId="3" fillId="0" borderId="1" xfId="0" applyNumberFormat="1" applyFont="1" applyBorder="1"/>
    <xf numFmtId="0" fontId="0" fillId="0" borderId="0" xfId="0" applyAlignment="1">
      <alignment horizontal="left"/>
    </xf>
    <xf numFmtId="169" fontId="0" fillId="0" borderId="13" xfId="1" applyNumberFormat="1" applyFont="1" applyBorder="1"/>
    <xf numFmtId="170" fontId="0" fillId="0" borderId="12" xfId="1" applyNumberFormat="1" applyFont="1" applyBorder="1"/>
    <xf numFmtId="169" fontId="0" fillId="0" borderId="14" xfId="1" applyNumberFormat="1" applyFont="1" applyBorder="1"/>
    <xf numFmtId="0" fontId="0" fillId="0" borderId="0" xfId="0" applyAlignment="1">
      <alignment horizontal="center"/>
    </xf>
    <xf numFmtId="0" fontId="0" fillId="0" borderId="10" xfId="0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3" fillId="0" borderId="0" xfId="0" applyFont="1" applyAlignment="1">
      <alignment horizontal="center"/>
    </xf>
    <xf numFmtId="0" fontId="0" fillId="0" borderId="8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26" xfId="0" applyFont="1" applyBorder="1" applyAlignment="1">
      <alignment horizontal="center"/>
    </xf>
    <xf numFmtId="0" fontId="3" fillId="0" borderId="25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9" xfId="0" applyBorder="1" applyAlignment="1">
      <alignment horizontal="center"/>
    </xf>
  </cellXfs>
  <cellStyles count="5">
    <cellStyle name="Millares" xfId="2" builtinId="3"/>
    <cellStyle name="Moneda" xfId="3" builtinId="4"/>
    <cellStyle name="Moneda [0]" xfId="1" builtinId="7"/>
    <cellStyle name="Normal" xfId="0" builtinId="0"/>
    <cellStyle name="Porcentaje" xfId="4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8BE0BD-AD3C-4E30-8D4F-E2CDB81571EC}">
  <dimension ref="B2:O93"/>
  <sheetViews>
    <sheetView tabSelected="1" zoomScale="106" zoomScaleNormal="106" workbookViewId="0">
      <selection activeCell="L56" sqref="L56"/>
    </sheetView>
  </sheetViews>
  <sheetFormatPr baseColWidth="10" defaultRowHeight="15" x14ac:dyDescent="0.25"/>
  <cols>
    <col min="2" max="2" width="13.28515625" customWidth="1"/>
    <col min="3" max="3" width="28.5703125" customWidth="1"/>
    <col min="4" max="4" width="17.28515625" customWidth="1"/>
    <col min="5" max="5" width="16.85546875" customWidth="1"/>
    <col min="6" max="6" width="18.140625" customWidth="1"/>
    <col min="7" max="7" width="16" customWidth="1"/>
    <col min="8" max="8" width="17.42578125" customWidth="1"/>
    <col min="9" max="9" width="16.42578125" customWidth="1"/>
    <col min="10" max="10" width="17.42578125" customWidth="1"/>
    <col min="11" max="11" width="19.42578125" customWidth="1"/>
    <col min="12" max="12" width="21.5703125" customWidth="1"/>
    <col min="13" max="13" width="20" customWidth="1"/>
    <col min="14" max="14" width="17.28515625" customWidth="1"/>
    <col min="15" max="15" width="15.42578125" customWidth="1"/>
    <col min="16" max="16" width="16.42578125" customWidth="1"/>
  </cols>
  <sheetData>
    <row r="2" spans="2:14" x14ac:dyDescent="0.25">
      <c r="B2" s="76" t="s">
        <v>26</v>
      </c>
      <c r="C2" s="76"/>
      <c r="D2" s="15"/>
    </row>
    <row r="3" spans="2:14" ht="15.75" thickBot="1" x14ac:dyDescent="0.3">
      <c r="C3" s="76"/>
      <c r="D3" s="76"/>
      <c r="E3" s="76"/>
      <c r="F3" s="76"/>
      <c r="G3" s="76"/>
      <c r="H3" s="76"/>
      <c r="I3" s="76"/>
    </row>
    <row r="4" spans="2:14" x14ac:dyDescent="0.25">
      <c r="C4" s="5"/>
      <c r="D4" s="6" t="s">
        <v>22</v>
      </c>
      <c r="E4" s="6" t="s">
        <v>13</v>
      </c>
      <c r="F4" s="6" t="s">
        <v>14</v>
      </c>
      <c r="G4" s="6" t="s">
        <v>15</v>
      </c>
      <c r="H4" s="6" t="s">
        <v>16</v>
      </c>
      <c r="I4" s="7" t="s">
        <v>17</v>
      </c>
    </row>
    <row r="5" spans="2:14" x14ac:dyDescent="0.25">
      <c r="C5" s="12" t="s">
        <v>11</v>
      </c>
      <c r="D5" s="16">
        <f t="shared" ref="D5:I5" si="0">C61</f>
        <v>3700000</v>
      </c>
      <c r="E5" s="11">
        <f t="shared" si="0"/>
        <v>10707000</v>
      </c>
      <c r="F5" s="11">
        <f t="shared" si="0"/>
        <v>24648000</v>
      </c>
      <c r="G5" s="11">
        <f t="shared" si="0"/>
        <v>40953000</v>
      </c>
      <c r="H5" s="11">
        <f t="shared" si="0"/>
        <v>59400000</v>
      </c>
      <c r="I5" s="13">
        <f t="shared" si="0"/>
        <v>80605000</v>
      </c>
      <c r="L5" s="3" t="s">
        <v>46</v>
      </c>
      <c r="M5" s="40">
        <f>40000*12</f>
        <v>480000</v>
      </c>
      <c r="N5" s="67">
        <f>M5/M8*100</f>
        <v>2.0618556701030926</v>
      </c>
    </row>
    <row r="6" spans="2:14" ht="15.75" thickBot="1" x14ac:dyDescent="0.3">
      <c r="C6" s="8" t="s">
        <v>12</v>
      </c>
      <c r="D6" s="20">
        <f>M8</f>
        <v>23280000</v>
      </c>
      <c r="E6" s="20">
        <f>M8</f>
        <v>23280000</v>
      </c>
      <c r="F6" s="20">
        <f>M8</f>
        <v>23280000</v>
      </c>
      <c r="G6" s="20">
        <f>M8</f>
        <v>23280000</v>
      </c>
      <c r="H6" s="20">
        <f>M8</f>
        <v>23280000</v>
      </c>
      <c r="I6" s="20">
        <f>M8</f>
        <v>23280000</v>
      </c>
      <c r="L6" s="3" t="s">
        <v>47</v>
      </c>
      <c r="M6" s="40">
        <f>1600000*12</f>
        <v>19200000</v>
      </c>
      <c r="N6" s="68">
        <f>M6/M8*100</f>
        <v>82.474226804123703</v>
      </c>
    </row>
    <row r="7" spans="2:14" ht="15.75" thickBot="1" x14ac:dyDescent="0.3">
      <c r="C7" s="77"/>
      <c r="D7" s="77"/>
      <c r="E7" s="77"/>
      <c r="F7" s="77"/>
      <c r="G7" s="77"/>
      <c r="H7" s="77"/>
      <c r="I7" s="77"/>
      <c r="L7" s="3" t="s">
        <v>48</v>
      </c>
      <c r="M7" s="40">
        <f>300000*12</f>
        <v>3600000</v>
      </c>
      <c r="N7" s="67">
        <f>M7/M8*100</f>
        <v>15.463917525773196</v>
      </c>
    </row>
    <row r="8" spans="2:14" x14ac:dyDescent="0.25">
      <c r="C8" s="82"/>
      <c r="D8" s="82"/>
      <c r="E8" s="82"/>
      <c r="G8" s="88" t="s">
        <v>19</v>
      </c>
      <c r="H8" s="77"/>
      <c r="I8" s="77"/>
      <c r="J8" s="89"/>
      <c r="L8" s="30" t="s">
        <v>49</v>
      </c>
      <c r="M8" s="25">
        <f>SUM(M5:M7)</f>
        <v>23280000</v>
      </c>
      <c r="N8" s="67">
        <f>SUM(N5:N7)</f>
        <v>99.999999999999986</v>
      </c>
    </row>
    <row r="9" spans="2:14" x14ac:dyDescent="0.25">
      <c r="C9" s="15"/>
      <c r="D9" s="15"/>
      <c r="E9" s="15"/>
      <c r="G9" s="12"/>
      <c r="I9" s="49">
        <v>0.2</v>
      </c>
      <c r="J9" s="50"/>
    </row>
    <row r="10" spans="2:14" x14ac:dyDescent="0.25">
      <c r="E10" s="33"/>
      <c r="G10" s="90" t="s">
        <v>65</v>
      </c>
      <c r="H10" s="76"/>
      <c r="I10" s="35">
        <f>N24*I9</f>
        <v>2000000</v>
      </c>
      <c r="J10" s="50"/>
    </row>
    <row r="11" spans="2:14" x14ac:dyDescent="0.25">
      <c r="C11" s="72"/>
      <c r="E11" s="34"/>
      <c r="G11" s="90" t="s">
        <v>66</v>
      </c>
      <c r="H11" s="76"/>
      <c r="I11" s="35">
        <f>N25*I9</f>
        <v>58000</v>
      </c>
      <c r="J11" s="50"/>
      <c r="L11" s="83" t="s">
        <v>51</v>
      </c>
      <c r="M11" s="84"/>
      <c r="N11" s="85"/>
    </row>
    <row r="12" spans="2:14" x14ac:dyDescent="0.25">
      <c r="E12" s="16"/>
      <c r="G12" s="90" t="s">
        <v>70</v>
      </c>
      <c r="H12" s="76"/>
      <c r="I12" s="35">
        <f>N26*I9</f>
        <v>200000</v>
      </c>
      <c r="J12" s="50"/>
      <c r="L12" s="31" t="s">
        <v>52</v>
      </c>
      <c r="M12" s="32"/>
      <c r="N12" s="3" t="s">
        <v>53</v>
      </c>
    </row>
    <row r="13" spans="2:14" ht="24.75" customHeight="1" thickBot="1" x14ac:dyDescent="0.3">
      <c r="E13" s="11"/>
      <c r="G13" s="91"/>
      <c r="H13" s="92"/>
      <c r="I13" s="51">
        <f>SUM(I10:I12)</f>
        <v>2258000</v>
      </c>
      <c r="J13" s="9"/>
      <c r="L13" s="41" t="s">
        <v>54</v>
      </c>
      <c r="M13" s="42"/>
      <c r="N13" s="40">
        <v>1000000</v>
      </c>
    </row>
    <row r="14" spans="2:14" x14ac:dyDescent="0.25">
      <c r="E14" s="11"/>
      <c r="L14" s="83" t="s">
        <v>55</v>
      </c>
      <c r="M14" s="85"/>
      <c r="N14" s="40">
        <v>800000</v>
      </c>
    </row>
    <row r="15" spans="2:14" ht="15.75" thickBot="1" x14ac:dyDescent="0.3">
      <c r="E15" s="11"/>
      <c r="L15" s="31"/>
      <c r="M15" s="32"/>
      <c r="N15" s="25">
        <f>SUM(N13:N14)</f>
        <v>1800000</v>
      </c>
    </row>
    <row r="16" spans="2:14" x14ac:dyDescent="0.25">
      <c r="E16" s="35"/>
      <c r="G16" s="88" t="s">
        <v>20</v>
      </c>
      <c r="H16" s="77"/>
      <c r="I16" s="77"/>
      <c r="J16" s="89"/>
    </row>
    <row r="17" spans="2:15" ht="15.75" thickBot="1" x14ac:dyDescent="0.3">
      <c r="E17" s="10"/>
      <c r="G17" s="52">
        <v>0.3</v>
      </c>
      <c r="H17" s="53"/>
      <c r="I17" s="51">
        <f>N44*G17</f>
        <v>1590000</v>
      </c>
      <c r="J17" s="9"/>
      <c r="L17" s="81" t="s">
        <v>56</v>
      </c>
      <c r="M17" s="81"/>
      <c r="N17" s="81"/>
      <c r="O17" s="81"/>
    </row>
    <row r="18" spans="2:15" x14ac:dyDescent="0.25">
      <c r="L18" s="1" t="s">
        <v>57</v>
      </c>
      <c r="M18" s="1" t="s">
        <v>58</v>
      </c>
      <c r="N18" s="1" t="s">
        <v>59</v>
      </c>
      <c r="O18" s="1" t="s">
        <v>60</v>
      </c>
    </row>
    <row r="19" spans="2:15" x14ac:dyDescent="0.25">
      <c r="E19" s="10"/>
      <c r="G19" s="15"/>
      <c r="H19" s="15"/>
      <c r="I19" s="11"/>
      <c r="L19" s="23" t="s">
        <v>61</v>
      </c>
      <c r="M19" s="23">
        <v>40</v>
      </c>
      <c r="N19" s="24">
        <v>80000</v>
      </c>
      <c r="O19" s="24">
        <f>M19*N19</f>
        <v>3200000</v>
      </c>
    </row>
    <row r="20" spans="2:15" x14ac:dyDescent="0.25">
      <c r="I20" s="10"/>
      <c r="L20" s="21"/>
      <c r="M20" s="21"/>
      <c r="N20" s="22"/>
      <c r="O20" s="22"/>
    </row>
    <row r="21" spans="2:15" x14ac:dyDescent="0.25">
      <c r="L21" s="21"/>
      <c r="M21" s="21"/>
      <c r="N21" s="22"/>
      <c r="O21" s="22"/>
    </row>
    <row r="22" spans="2:15" x14ac:dyDescent="0.25">
      <c r="C22" s="1" t="s">
        <v>18</v>
      </c>
      <c r="D22" s="1"/>
      <c r="E22" s="1"/>
      <c r="F22" s="3" t="s">
        <v>13</v>
      </c>
      <c r="G22" s="3" t="s">
        <v>14</v>
      </c>
      <c r="H22" s="3" t="s">
        <v>15</v>
      </c>
      <c r="I22" s="3" t="s">
        <v>16</v>
      </c>
      <c r="J22" s="3" t="s">
        <v>17</v>
      </c>
      <c r="L22" s="96" t="s">
        <v>63</v>
      </c>
      <c r="M22" s="96"/>
      <c r="N22" s="96"/>
      <c r="O22" s="3"/>
    </row>
    <row r="23" spans="2:15" x14ac:dyDescent="0.25">
      <c r="C23" s="81" t="s">
        <v>65</v>
      </c>
      <c r="D23" s="81"/>
      <c r="E23" s="81"/>
      <c r="F23" s="54">
        <v>7000000</v>
      </c>
      <c r="G23" s="54">
        <v>7000000</v>
      </c>
      <c r="H23" s="54">
        <v>7000000</v>
      </c>
      <c r="I23" s="54">
        <v>7000000</v>
      </c>
      <c r="J23" s="54">
        <v>7000000</v>
      </c>
      <c r="L23" s="43" t="s">
        <v>57</v>
      </c>
      <c r="M23" s="43" t="s">
        <v>58</v>
      </c>
      <c r="N23" s="43" t="s">
        <v>64</v>
      </c>
      <c r="O23" s="43" t="s">
        <v>82</v>
      </c>
    </row>
    <row r="24" spans="2:15" x14ac:dyDescent="0.25">
      <c r="C24" s="81" t="s">
        <v>66</v>
      </c>
      <c r="D24" s="81"/>
      <c r="E24" s="81"/>
      <c r="F24" s="54">
        <v>150000</v>
      </c>
      <c r="G24" s="54">
        <v>150000</v>
      </c>
      <c r="H24" s="54">
        <v>150000</v>
      </c>
      <c r="I24" s="54">
        <v>150000</v>
      </c>
      <c r="J24" s="54">
        <v>150000</v>
      </c>
      <c r="L24" s="3" t="s">
        <v>65</v>
      </c>
      <c r="M24" s="3">
        <v>1</v>
      </c>
      <c r="N24" s="40">
        <v>10000000</v>
      </c>
      <c r="O24" s="67">
        <f>N24/N27*100</f>
        <v>88.573959255978735</v>
      </c>
    </row>
    <row r="25" spans="2:15" x14ac:dyDescent="0.25">
      <c r="C25" s="81" t="s">
        <v>70</v>
      </c>
      <c r="D25" s="81"/>
      <c r="E25" s="81"/>
      <c r="F25" s="54">
        <v>600000</v>
      </c>
      <c r="G25" s="54">
        <v>600000</v>
      </c>
      <c r="H25" s="54">
        <v>600000</v>
      </c>
      <c r="I25" s="54">
        <v>600000</v>
      </c>
      <c r="J25" s="54">
        <v>600000</v>
      </c>
      <c r="L25" s="3" t="s">
        <v>66</v>
      </c>
      <c r="M25" s="3">
        <v>1</v>
      </c>
      <c r="N25" s="40">
        <v>290000</v>
      </c>
      <c r="O25" s="67">
        <f>N25/N27*100</f>
        <v>2.5686448184233832</v>
      </c>
    </row>
    <row r="26" spans="2:15" x14ac:dyDescent="0.25">
      <c r="C26" s="81"/>
      <c r="D26" s="81"/>
      <c r="E26" s="81"/>
      <c r="F26" s="54">
        <f>SUM(F23:F25)</f>
        <v>7750000</v>
      </c>
      <c r="G26" s="54">
        <f>SUM(G23:G25)</f>
        <v>7750000</v>
      </c>
      <c r="H26" s="54">
        <f>SUM(H23:H25)</f>
        <v>7750000</v>
      </c>
      <c r="I26" s="54">
        <f>SUM(I23:I25)</f>
        <v>7750000</v>
      </c>
      <c r="J26" s="54">
        <f>SUM(J23:J25)</f>
        <v>7750000</v>
      </c>
      <c r="L26" s="3" t="s">
        <v>70</v>
      </c>
      <c r="M26" s="3">
        <v>1</v>
      </c>
      <c r="N26" s="25">
        <v>1000000</v>
      </c>
      <c r="O26" s="67">
        <f>N26/N27*100</f>
        <v>8.8573959255978743</v>
      </c>
    </row>
    <row r="27" spans="2:15" x14ac:dyDescent="0.25">
      <c r="F27" s="11"/>
      <c r="G27" s="11"/>
      <c r="H27" s="11"/>
      <c r="I27" s="11"/>
      <c r="J27" s="11"/>
      <c r="L27" s="26"/>
      <c r="M27" s="27"/>
      <c r="N27" s="29">
        <f>SUM(N24:N26)</f>
        <v>11290000</v>
      </c>
      <c r="O27" s="71">
        <f>SUM(O24:O26)</f>
        <v>99.999999999999986</v>
      </c>
    </row>
    <row r="28" spans="2:15" ht="15.75" thickBot="1" x14ac:dyDescent="0.3">
      <c r="L28" s="43" t="s">
        <v>72</v>
      </c>
      <c r="M28" s="43"/>
      <c r="N28" s="43"/>
      <c r="O28" s="3"/>
    </row>
    <row r="29" spans="2:15" ht="15.75" thickBot="1" x14ac:dyDescent="0.3">
      <c r="F29" s="5" t="s">
        <v>13</v>
      </c>
      <c r="G29" s="6" t="s">
        <v>14</v>
      </c>
      <c r="H29" s="6" t="s">
        <v>15</v>
      </c>
      <c r="I29" s="6" t="s">
        <v>16</v>
      </c>
      <c r="J29" s="7" t="s">
        <v>17</v>
      </c>
      <c r="L29" s="3" t="s">
        <v>62</v>
      </c>
      <c r="M29" s="44"/>
      <c r="N29" s="24">
        <f>50000*C77</f>
        <v>1850000</v>
      </c>
      <c r="O29" s="3">
        <f>N29/N31*100</f>
        <v>100</v>
      </c>
    </row>
    <row r="30" spans="2:15" ht="15.75" thickBot="1" x14ac:dyDescent="0.3">
      <c r="C30" s="86" t="s">
        <v>3</v>
      </c>
      <c r="D30" s="87"/>
      <c r="E30" s="87"/>
      <c r="F30" s="74">
        <f>M66</f>
        <v>2.992</v>
      </c>
      <c r="G30" s="73">
        <f>M66*9%+F30</f>
        <v>3.2612800000000002</v>
      </c>
      <c r="H30" s="73">
        <f>M66*9%+G30</f>
        <v>3.5305600000000004</v>
      </c>
      <c r="I30" s="73">
        <f>M66*9%+H30</f>
        <v>3.7998400000000006</v>
      </c>
      <c r="J30" s="75">
        <f>M66*9%+I30</f>
        <v>4.0691200000000007</v>
      </c>
      <c r="L30" s="44"/>
      <c r="M30" s="44"/>
      <c r="N30" s="45"/>
      <c r="O30" s="3"/>
    </row>
    <row r="31" spans="2:15" ht="15.75" thickBot="1" x14ac:dyDescent="0.3">
      <c r="L31" s="44"/>
      <c r="M31" s="44"/>
      <c r="N31" s="69">
        <f>SUM(N29:N30)</f>
        <v>1850000</v>
      </c>
      <c r="O31" s="3"/>
    </row>
    <row r="32" spans="2:15" ht="15.75" thickBot="1" x14ac:dyDescent="0.3">
      <c r="B32" s="2"/>
      <c r="C32" s="55" t="s">
        <v>0</v>
      </c>
      <c r="D32" s="56"/>
      <c r="E32" s="56"/>
      <c r="F32" s="3" t="s">
        <v>22</v>
      </c>
      <c r="G32" s="3" t="s">
        <v>13</v>
      </c>
      <c r="H32" s="3" t="s">
        <v>14</v>
      </c>
      <c r="I32" s="3" t="s">
        <v>15</v>
      </c>
      <c r="J32" s="3" t="s">
        <v>16</v>
      </c>
      <c r="K32" s="3" t="s">
        <v>17</v>
      </c>
      <c r="L32" s="43" t="s">
        <v>71</v>
      </c>
      <c r="M32" s="3"/>
      <c r="N32" s="24"/>
      <c r="O32" s="3"/>
    </row>
    <row r="33" spans="2:15" x14ac:dyDescent="0.25">
      <c r="B33" s="1" t="s">
        <v>2</v>
      </c>
      <c r="C33" s="57" t="s">
        <v>1</v>
      </c>
      <c r="D33" s="58"/>
      <c r="E33" s="58"/>
      <c r="F33" s="65"/>
      <c r="G33" s="65">
        <f>E5</f>
        <v>10707000</v>
      </c>
      <c r="H33" s="65">
        <f>F5</f>
        <v>24648000</v>
      </c>
      <c r="I33" s="65">
        <f>G5</f>
        <v>40953000</v>
      </c>
      <c r="J33" s="65">
        <f>H5</f>
        <v>59400000</v>
      </c>
      <c r="K33" s="65">
        <f>I5</f>
        <v>80605000</v>
      </c>
      <c r="L33" s="3"/>
      <c r="M33" s="3"/>
      <c r="N33" s="25"/>
      <c r="O33" s="3"/>
    </row>
    <row r="34" spans="2:15" x14ac:dyDescent="0.25">
      <c r="B34" s="1" t="s">
        <v>4</v>
      </c>
      <c r="C34" s="1" t="s">
        <v>3</v>
      </c>
      <c r="D34" s="31"/>
      <c r="E34" s="31"/>
      <c r="F34" s="65"/>
      <c r="G34" s="65">
        <f>+F30</f>
        <v>2.992</v>
      </c>
      <c r="H34" s="65">
        <f>+G30</f>
        <v>3.2612800000000002</v>
      </c>
      <c r="I34" s="65">
        <f>+H30</f>
        <v>3.5305600000000004</v>
      </c>
      <c r="J34" s="65">
        <f>+I30</f>
        <v>3.7998400000000006</v>
      </c>
      <c r="K34" s="65">
        <f>+J30</f>
        <v>4.0691200000000007</v>
      </c>
      <c r="L34" s="46" t="s">
        <v>73</v>
      </c>
      <c r="M34" s="3"/>
      <c r="N34" s="40">
        <v>30000</v>
      </c>
      <c r="O34" s="67">
        <f>N34/N39*100</f>
        <v>3.6585365853658534</v>
      </c>
    </row>
    <row r="35" spans="2:15" x14ac:dyDescent="0.25">
      <c r="B35" s="1" t="s">
        <v>4</v>
      </c>
      <c r="C35" s="1" t="s">
        <v>5</v>
      </c>
      <c r="D35" s="31"/>
      <c r="E35" s="31"/>
      <c r="F35" s="65"/>
      <c r="G35" s="65">
        <f>+E6</f>
        <v>23280000</v>
      </c>
      <c r="H35" s="65">
        <f>+F6</f>
        <v>23280000</v>
      </c>
      <c r="I35" s="65">
        <f>+G6</f>
        <v>23280000</v>
      </c>
      <c r="J35" s="65">
        <f>+H6</f>
        <v>23280000</v>
      </c>
      <c r="K35" s="65">
        <f>+I6</f>
        <v>23280000</v>
      </c>
      <c r="L35" s="3" t="s">
        <v>67</v>
      </c>
      <c r="M35" s="3"/>
      <c r="N35" s="40">
        <v>300000</v>
      </c>
      <c r="O35" s="67">
        <f>N35/N39*100</f>
        <v>36.585365853658537</v>
      </c>
    </row>
    <row r="36" spans="2:15" x14ac:dyDescent="0.25">
      <c r="B36" s="1" t="s">
        <v>4</v>
      </c>
      <c r="C36" s="1" t="s">
        <v>6</v>
      </c>
      <c r="D36" s="31"/>
      <c r="E36" s="31"/>
      <c r="F36" s="65"/>
      <c r="G36" s="65">
        <f>F26</f>
        <v>7750000</v>
      </c>
      <c r="H36" s="65">
        <f>G26</f>
        <v>7750000</v>
      </c>
      <c r="I36" s="65">
        <f>H26</f>
        <v>7750000</v>
      </c>
      <c r="J36" s="65">
        <f>I26</f>
        <v>7750000</v>
      </c>
      <c r="K36" s="65">
        <f>J26</f>
        <v>7750000</v>
      </c>
      <c r="L36" s="3" t="s">
        <v>68</v>
      </c>
      <c r="M36" s="3"/>
      <c r="N36" s="40">
        <v>400000</v>
      </c>
      <c r="O36" s="67">
        <f>N36/N39*100</f>
        <v>48.780487804878049</v>
      </c>
    </row>
    <row r="37" spans="2:15" x14ac:dyDescent="0.25">
      <c r="B37" s="1" t="s">
        <v>7</v>
      </c>
      <c r="C37" s="1" t="s">
        <v>25</v>
      </c>
      <c r="D37" s="31"/>
      <c r="E37" s="31"/>
      <c r="F37" s="65"/>
      <c r="G37" s="65">
        <f>G33-G34-G35-G36</f>
        <v>-20323002.991999999</v>
      </c>
      <c r="H37" s="65">
        <f t="shared" ref="H37" si="1">+H33-H34-H35-H36</f>
        <v>-6382003.2612800002</v>
      </c>
      <c r="I37" s="65">
        <f>+I33-I34-I35-I36</f>
        <v>9922996.4694399983</v>
      </c>
      <c r="J37" s="65">
        <f>+J33-J34-J35-J36</f>
        <v>28369996.200159997</v>
      </c>
      <c r="K37" s="65">
        <f>K33-K34-K35-K36</f>
        <v>49574995.930879995</v>
      </c>
      <c r="L37" s="3" t="s">
        <v>74</v>
      </c>
      <c r="M37" s="3"/>
      <c r="N37" s="25">
        <v>60000</v>
      </c>
      <c r="O37" s="67">
        <f>N37/N39*100</f>
        <v>7.3170731707317067</v>
      </c>
    </row>
    <row r="38" spans="2:15" x14ac:dyDescent="0.25">
      <c r="B38" s="1" t="s">
        <v>4</v>
      </c>
      <c r="C38" s="1" t="s">
        <v>8</v>
      </c>
      <c r="D38" s="31"/>
      <c r="E38" s="31"/>
      <c r="F38" s="65"/>
      <c r="G38" s="65">
        <f>G37*34%</f>
        <v>-6909821.0172800003</v>
      </c>
      <c r="H38" s="65">
        <f t="shared" ref="H38:K38" si="2">+H37*34%</f>
        <v>-2169881.1088352003</v>
      </c>
      <c r="I38" s="65">
        <f>+I37*34%</f>
        <v>3373818.7996095996</v>
      </c>
      <c r="J38" s="65">
        <f t="shared" si="2"/>
        <v>9645798.7080543991</v>
      </c>
      <c r="K38" s="65">
        <f t="shared" si="2"/>
        <v>16855498.6164992</v>
      </c>
      <c r="L38" s="3" t="s">
        <v>75</v>
      </c>
      <c r="M38" s="30"/>
      <c r="N38" s="47">
        <v>30000</v>
      </c>
      <c r="O38" s="67">
        <f>N38/N39*100</f>
        <v>3.6585365853658534</v>
      </c>
    </row>
    <row r="39" spans="2:15" x14ac:dyDescent="0.25">
      <c r="B39" s="1" t="s">
        <v>7</v>
      </c>
      <c r="C39" s="1" t="s">
        <v>24</v>
      </c>
      <c r="D39" s="31"/>
      <c r="E39" s="31"/>
      <c r="F39" s="65"/>
      <c r="G39" s="65">
        <f>G37-G38</f>
        <v>-13413181.974719997</v>
      </c>
      <c r="H39" s="65">
        <f t="shared" ref="H39:J39" si="3">+H37-H38</f>
        <v>-4212122.1524448004</v>
      </c>
      <c r="I39" s="65">
        <f t="shared" si="3"/>
        <v>6549177.6698303986</v>
      </c>
      <c r="J39" s="65">
        <f t="shared" si="3"/>
        <v>18724197.492105596</v>
      </c>
      <c r="K39" s="65">
        <f>+K37-K38</f>
        <v>32719497.314380795</v>
      </c>
      <c r="L39" s="43"/>
      <c r="M39" s="43"/>
      <c r="N39" s="48">
        <f>SUM(N33:N38)</f>
        <v>820000</v>
      </c>
      <c r="O39" s="30">
        <f>SUM(O34:O38)</f>
        <v>100</v>
      </c>
    </row>
    <row r="40" spans="2:15" x14ac:dyDescent="0.25">
      <c r="B40" s="1" t="s">
        <v>2</v>
      </c>
      <c r="C40" s="1" t="s">
        <v>6</v>
      </c>
      <c r="D40" s="31"/>
      <c r="E40" s="31"/>
      <c r="F40" s="65"/>
      <c r="G40" s="65">
        <f>G36</f>
        <v>7750000</v>
      </c>
      <c r="H40" s="65">
        <f>H36</f>
        <v>7750000</v>
      </c>
      <c r="I40" s="65">
        <f>I36</f>
        <v>7750000</v>
      </c>
      <c r="J40" s="65">
        <f>J36</f>
        <v>7750000</v>
      </c>
      <c r="K40" s="65">
        <f>K36</f>
        <v>7750000</v>
      </c>
      <c r="L40" s="93" t="s">
        <v>76</v>
      </c>
      <c r="M40" s="95"/>
      <c r="N40" s="28"/>
      <c r="O40" s="3"/>
    </row>
    <row r="41" spans="2:15" x14ac:dyDescent="0.25">
      <c r="B41" s="1" t="s">
        <v>4</v>
      </c>
      <c r="C41" s="83" t="s">
        <v>21</v>
      </c>
      <c r="D41" s="84"/>
      <c r="E41" s="85"/>
      <c r="F41" s="40">
        <f>N45</f>
        <v>19260000</v>
      </c>
      <c r="G41" s="65"/>
      <c r="H41" s="65"/>
      <c r="I41" s="65"/>
      <c r="J41" s="65"/>
      <c r="K41" s="65"/>
      <c r="L41" s="3" t="s">
        <v>48</v>
      </c>
      <c r="M41" s="3"/>
      <c r="N41" s="25">
        <v>300000</v>
      </c>
      <c r="O41" s="67">
        <f>N41/N44*100</f>
        <v>5.6603773584905666</v>
      </c>
    </row>
    <row r="42" spans="2:15" x14ac:dyDescent="0.25">
      <c r="B42" s="1" t="s">
        <v>2</v>
      </c>
      <c r="C42" s="83" t="s">
        <v>9</v>
      </c>
      <c r="D42" s="84"/>
      <c r="E42" s="85"/>
      <c r="F42" s="65"/>
      <c r="G42" s="65"/>
      <c r="H42" s="65"/>
      <c r="I42" s="65"/>
      <c r="J42" s="65"/>
      <c r="K42" s="65">
        <f>I13</f>
        <v>2258000</v>
      </c>
      <c r="L42" s="3" t="s">
        <v>47</v>
      </c>
      <c r="M42" s="3"/>
      <c r="N42" s="25">
        <v>1800000</v>
      </c>
      <c r="O42" s="67">
        <f>N42/N44*100</f>
        <v>33.962264150943398</v>
      </c>
    </row>
    <row r="43" spans="2:15" ht="15.75" thickBot="1" x14ac:dyDescent="0.3">
      <c r="B43" s="4" t="s">
        <v>2</v>
      </c>
      <c r="C43" s="97" t="s">
        <v>23</v>
      </c>
      <c r="D43" s="98"/>
      <c r="E43" s="99"/>
      <c r="F43" s="66"/>
      <c r="G43" s="66"/>
      <c r="H43" s="66"/>
      <c r="I43" s="66"/>
      <c r="J43" s="66"/>
      <c r="K43" s="66">
        <f>+I17</f>
        <v>1590000</v>
      </c>
      <c r="L43" s="3" t="s">
        <v>50</v>
      </c>
      <c r="M43" s="3"/>
      <c r="N43" s="25">
        <v>3200000</v>
      </c>
      <c r="O43" s="67">
        <f>N43/N44*100</f>
        <v>60.377358490566039</v>
      </c>
    </row>
    <row r="44" spans="2:15" ht="15.75" thickBot="1" x14ac:dyDescent="0.3">
      <c r="B44" s="14" t="s">
        <v>7</v>
      </c>
      <c r="C44" s="100" t="s">
        <v>10</v>
      </c>
      <c r="D44" s="101"/>
      <c r="E44" s="102"/>
      <c r="F44" s="59">
        <f>F33-F34-F35-F36-F38+F40-F41</f>
        <v>-19260000</v>
      </c>
      <c r="G44" s="59">
        <f>G33-G34-G35-G36-G37+G40</f>
        <v>7750000</v>
      </c>
      <c r="H44" s="59">
        <f>H33-H34-H35-H36-H37-H39+H40</f>
        <v>11962122.1524448</v>
      </c>
      <c r="I44" s="59">
        <f>I33-I34-I35-I36-I38+I40</f>
        <v>14299177.669830399</v>
      </c>
      <c r="J44" s="59">
        <f>J33-J34-J35-J36-J38+J40</f>
        <v>26474197.492105596</v>
      </c>
      <c r="K44" s="59">
        <f>K33-K34-K35-K36-K38+K40+K42+K43</f>
        <v>44317497.314380795</v>
      </c>
      <c r="L44" s="30"/>
      <c r="M44" s="30"/>
      <c r="N44" s="70">
        <f>SUM(N41:N43)</f>
        <v>5300000</v>
      </c>
      <c r="O44" s="71">
        <f>SUM(O41:O43)</f>
        <v>100</v>
      </c>
    </row>
    <row r="45" spans="2:15" x14ac:dyDescent="0.25">
      <c r="L45" s="93" t="s">
        <v>69</v>
      </c>
      <c r="M45" s="94"/>
      <c r="N45" s="70">
        <f>N44+N39+N31+N27</f>
        <v>19260000</v>
      </c>
      <c r="O45" s="67"/>
    </row>
    <row r="47" spans="2:15" x14ac:dyDescent="0.25">
      <c r="B47" s="78" t="s">
        <v>27</v>
      </c>
      <c r="C47" s="79"/>
      <c r="D47" s="79"/>
      <c r="E47" s="79"/>
      <c r="F47" s="79"/>
      <c r="G47" s="79"/>
      <c r="H47" s="80"/>
    </row>
    <row r="48" spans="2:15" x14ac:dyDescent="0.25">
      <c r="B48" s="3"/>
      <c r="C48" s="1" t="s">
        <v>22</v>
      </c>
      <c r="D48" s="1" t="s">
        <v>13</v>
      </c>
      <c r="E48" s="1" t="s">
        <v>14</v>
      </c>
      <c r="F48" s="1" t="s">
        <v>15</v>
      </c>
      <c r="G48" s="1" t="s">
        <v>16</v>
      </c>
      <c r="H48" s="1" t="s">
        <v>17</v>
      </c>
      <c r="J48" s="93" t="s">
        <v>42</v>
      </c>
      <c r="K48" s="95"/>
      <c r="L48" s="95"/>
      <c r="M48" s="95"/>
      <c r="N48" s="95"/>
      <c r="O48" s="94"/>
    </row>
    <row r="49" spans="2:15" x14ac:dyDescent="0.25">
      <c r="B49" s="43" t="s">
        <v>28</v>
      </c>
      <c r="C49" s="40">
        <f t="shared" ref="C49:H49" si="4">C65*J53</f>
        <v>100000</v>
      </c>
      <c r="D49" s="40">
        <f t="shared" si="4"/>
        <v>645000</v>
      </c>
      <c r="E49" s="40">
        <f t="shared" si="4"/>
        <v>1896000</v>
      </c>
      <c r="F49" s="40">
        <f t="shared" si="4"/>
        <v>3179000</v>
      </c>
      <c r="G49" s="40">
        <f t="shared" si="4"/>
        <v>4752000</v>
      </c>
      <c r="H49" s="40">
        <f t="shared" si="4"/>
        <v>6370000</v>
      </c>
      <c r="J49" s="43" t="s">
        <v>22</v>
      </c>
      <c r="K49" s="43" t="s">
        <v>13</v>
      </c>
      <c r="L49" s="63" t="s">
        <v>14</v>
      </c>
      <c r="M49" s="43" t="s">
        <v>15</v>
      </c>
      <c r="N49" s="43" t="s">
        <v>16</v>
      </c>
      <c r="O49" s="43" t="s">
        <v>43</v>
      </c>
    </row>
    <row r="50" spans="2:15" x14ac:dyDescent="0.25">
      <c r="B50" s="43" t="s">
        <v>29</v>
      </c>
      <c r="C50" s="40">
        <f t="shared" ref="C50:H50" si="5">C66*J53</f>
        <v>100000</v>
      </c>
      <c r="D50" s="40">
        <f t="shared" si="5"/>
        <v>645000</v>
      </c>
      <c r="E50" s="40">
        <f t="shared" si="5"/>
        <v>1896000</v>
      </c>
      <c r="F50" s="40">
        <f t="shared" si="5"/>
        <v>3179000</v>
      </c>
      <c r="G50" s="40">
        <f t="shared" si="5"/>
        <v>4752000</v>
      </c>
      <c r="H50" s="40">
        <f t="shared" si="5"/>
        <v>6370000</v>
      </c>
      <c r="J50" s="3">
        <v>2000</v>
      </c>
      <c r="K50" s="3">
        <f>J50+L55</f>
        <v>2580</v>
      </c>
      <c r="L50" s="3">
        <f>K50+L55</f>
        <v>3160</v>
      </c>
      <c r="M50" s="3">
        <f>L50+L55</f>
        <v>3740</v>
      </c>
      <c r="N50" s="3">
        <f>M50+L55</f>
        <v>4320</v>
      </c>
      <c r="O50" s="3">
        <f>N50+L55</f>
        <v>4900</v>
      </c>
    </row>
    <row r="51" spans="2:15" x14ac:dyDescent="0.25">
      <c r="B51" s="43" t="s">
        <v>30</v>
      </c>
      <c r="C51" s="40">
        <f t="shared" ref="C51:H51" si="6">C67*J53</f>
        <v>200000</v>
      </c>
      <c r="D51" s="40">
        <f t="shared" si="6"/>
        <v>645000</v>
      </c>
      <c r="E51" s="40">
        <f t="shared" si="6"/>
        <v>1896000</v>
      </c>
      <c r="F51" s="40">
        <f t="shared" si="6"/>
        <v>3179000</v>
      </c>
      <c r="G51" s="40">
        <f t="shared" si="6"/>
        <v>4752000</v>
      </c>
      <c r="H51" s="40">
        <f t="shared" si="6"/>
        <v>6370000</v>
      </c>
      <c r="J51" s="93" t="s">
        <v>44</v>
      </c>
      <c r="K51" s="95"/>
      <c r="L51" s="95"/>
      <c r="M51" s="95"/>
      <c r="N51" s="95"/>
      <c r="O51" s="94"/>
    </row>
    <row r="52" spans="2:15" x14ac:dyDescent="0.25">
      <c r="B52" s="43" t="s">
        <v>31</v>
      </c>
      <c r="C52" s="40">
        <f t="shared" ref="C52:H52" si="7">C68*J53</f>
        <v>200000</v>
      </c>
      <c r="D52" s="40">
        <f t="shared" si="7"/>
        <v>774000</v>
      </c>
      <c r="E52" s="40">
        <f t="shared" si="7"/>
        <v>1896000</v>
      </c>
      <c r="F52" s="40">
        <f t="shared" si="7"/>
        <v>3366000</v>
      </c>
      <c r="G52" s="40">
        <f t="shared" si="7"/>
        <v>4752000</v>
      </c>
      <c r="H52" s="40">
        <f t="shared" si="7"/>
        <v>6370000</v>
      </c>
      <c r="J52" s="30" t="s">
        <v>22</v>
      </c>
      <c r="K52" s="30" t="s">
        <v>13</v>
      </c>
      <c r="L52" s="64" t="s">
        <v>14</v>
      </c>
      <c r="M52" s="30" t="s">
        <v>15</v>
      </c>
      <c r="N52" s="30" t="s">
        <v>16</v>
      </c>
      <c r="O52" s="30" t="s">
        <v>17</v>
      </c>
    </row>
    <row r="53" spans="2:15" x14ac:dyDescent="0.25">
      <c r="B53" s="43" t="s">
        <v>32</v>
      </c>
      <c r="C53" s="40">
        <f t="shared" ref="C53:H53" si="8">C69*J53</f>
        <v>200000</v>
      </c>
      <c r="D53" s="40">
        <f t="shared" si="8"/>
        <v>774000</v>
      </c>
      <c r="E53" s="40">
        <f t="shared" si="8"/>
        <v>2054000</v>
      </c>
      <c r="F53" s="40">
        <f t="shared" si="8"/>
        <v>3366000</v>
      </c>
      <c r="G53" s="40">
        <f t="shared" si="8"/>
        <v>4968000</v>
      </c>
      <c r="H53" s="40">
        <f t="shared" si="8"/>
        <v>6615000</v>
      </c>
      <c r="J53" s="3">
        <f>J50*50</f>
        <v>100000</v>
      </c>
      <c r="K53" s="3">
        <f t="shared" ref="K53:O53" si="9">K50*50</f>
        <v>129000</v>
      </c>
      <c r="L53" s="3">
        <f t="shared" si="9"/>
        <v>158000</v>
      </c>
      <c r="M53" s="3">
        <f t="shared" si="9"/>
        <v>187000</v>
      </c>
      <c r="N53" s="3">
        <f t="shared" si="9"/>
        <v>216000</v>
      </c>
      <c r="O53" s="3">
        <f t="shared" si="9"/>
        <v>245000</v>
      </c>
    </row>
    <row r="54" spans="2:15" ht="15.75" thickBot="1" x14ac:dyDescent="0.3">
      <c r="B54" s="43" t="s">
        <v>33</v>
      </c>
      <c r="C54" s="40">
        <f t="shared" ref="C54:H54" si="10">C70*J53</f>
        <v>300000</v>
      </c>
      <c r="D54" s="40">
        <f t="shared" si="10"/>
        <v>645000</v>
      </c>
      <c r="E54" s="40">
        <f t="shared" si="10"/>
        <v>2054000</v>
      </c>
      <c r="F54" s="40">
        <f t="shared" si="10"/>
        <v>3366000</v>
      </c>
      <c r="G54" s="40">
        <f t="shared" si="10"/>
        <v>4968000</v>
      </c>
      <c r="H54" s="40">
        <f t="shared" si="10"/>
        <v>6615000</v>
      </c>
    </row>
    <row r="55" spans="2:15" ht="15.75" thickBot="1" x14ac:dyDescent="0.3">
      <c r="B55" s="43" t="s">
        <v>34</v>
      </c>
      <c r="C55" s="40">
        <f t="shared" ref="C55:H55" si="11">C71*J53</f>
        <v>300000</v>
      </c>
      <c r="D55" s="40">
        <f t="shared" si="11"/>
        <v>645000</v>
      </c>
      <c r="E55" s="40">
        <f t="shared" si="11"/>
        <v>2054000</v>
      </c>
      <c r="F55" s="40">
        <f t="shared" si="11"/>
        <v>3366000</v>
      </c>
      <c r="G55" s="40">
        <f t="shared" si="11"/>
        <v>4968000</v>
      </c>
      <c r="H55" s="40">
        <f t="shared" si="11"/>
        <v>6615000</v>
      </c>
      <c r="J55" s="17" t="s">
        <v>45</v>
      </c>
      <c r="K55" s="18">
        <v>2.8999999999999998E-3</v>
      </c>
      <c r="L55" s="19">
        <f>J50*K55*100</f>
        <v>580</v>
      </c>
    </row>
    <row r="56" spans="2:15" x14ac:dyDescent="0.25">
      <c r="B56" s="43" t="s">
        <v>35</v>
      </c>
      <c r="C56" s="40">
        <f t="shared" ref="C56:H56" si="12">C72*J53</f>
        <v>400000</v>
      </c>
      <c r="D56" s="40">
        <f t="shared" si="12"/>
        <v>903000</v>
      </c>
      <c r="E56" s="40">
        <f t="shared" si="12"/>
        <v>2054000</v>
      </c>
      <c r="F56" s="40">
        <f t="shared" si="12"/>
        <v>3366000</v>
      </c>
      <c r="G56" s="40">
        <f t="shared" si="12"/>
        <v>4968000</v>
      </c>
      <c r="H56" s="40">
        <f t="shared" si="12"/>
        <v>6860000</v>
      </c>
    </row>
    <row r="57" spans="2:15" ht="15.75" thickBot="1" x14ac:dyDescent="0.3">
      <c r="B57" s="43" t="s">
        <v>36</v>
      </c>
      <c r="C57" s="40">
        <f t="shared" ref="C57:H57" si="13">C73*J53</f>
        <v>400000</v>
      </c>
      <c r="D57" s="40">
        <f t="shared" si="13"/>
        <v>903000</v>
      </c>
      <c r="E57" s="40">
        <f t="shared" si="13"/>
        <v>2054000</v>
      </c>
      <c r="F57" s="40">
        <f t="shared" si="13"/>
        <v>3553000</v>
      </c>
      <c r="G57" s="40">
        <f t="shared" si="13"/>
        <v>4968000</v>
      </c>
      <c r="H57" s="40">
        <f t="shared" si="13"/>
        <v>6860000</v>
      </c>
    </row>
    <row r="58" spans="2:15" x14ac:dyDescent="0.25">
      <c r="B58" s="43" t="s">
        <v>37</v>
      </c>
      <c r="C58" s="40">
        <f>C74*J53</f>
        <v>500000</v>
      </c>
      <c r="D58" s="40">
        <f>D74*K53</f>
        <v>1290000</v>
      </c>
      <c r="E58" s="40">
        <f>E74*L53</f>
        <v>2054000</v>
      </c>
      <c r="F58" s="40">
        <f>F74*M53</f>
        <v>3553000</v>
      </c>
      <c r="G58" s="40">
        <f>G74*N53</f>
        <v>5184000</v>
      </c>
      <c r="H58" s="40">
        <f>H73*O53</f>
        <v>6860000</v>
      </c>
      <c r="J58" s="5" t="s">
        <v>79</v>
      </c>
      <c r="K58" s="37">
        <v>0.15</v>
      </c>
    </row>
    <row r="59" spans="2:15" x14ac:dyDescent="0.25">
      <c r="B59" s="43" t="s">
        <v>38</v>
      </c>
      <c r="C59" s="40">
        <f t="shared" ref="C59:H59" si="14">C75*J53</f>
        <v>500000</v>
      </c>
      <c r="D59" s="40">
        <f t="shared" si="14"/>
        <v>1290000</v>
      </c>
      <c r="E59" s="40">
        <f t="shared" si="14"/>
        <v>2370000</v>
      </c>
      <c r="F59" s="40">
        <f t="shared" si="14"/>
        <v>3740000</v>
      </c>
      <c r="G59" s="40">
        <f t="shared" si="14"/>
        <v>5184000</v>
      </c>
      <c r="H59" s="40">
        <f t="shared" si="14"/>
        <v>7350000</v>
      </c>
      <c r="J59" s="12" t="s">
        <v>78</v>
      </c>
      <c r="K59" s="38">
        <f>IRR(F44:K44)</f>
        <v>0.65628852009870231</v>
      </c>
    </row>
    <row r="60" spans="2:15" x14ac:dyDescent="0.25">
      <c r="B60" s="43" t="s">
        <v>39</v>
      </c>
      <c r="C60" s="40">
        <f t="shared" ref="C60:H60" si="15">C76*J53</f>
        <v>500000</v>
      </c>
      <c r="D60" s="40">
        <f t="shared" si="15"/>
        <v>1548000</v>
      </c>
      <c r="E60" s="40">
        <f t="shared" si="15"/>
        <v>2370000</v>
      </c>
      <c r="F60" s="40">
        <f t="shared" si="15"/>
        <v>3740000</v>
      </c>
      <c r="G60" s="40">
        <f t="shared" si="15"/>
        <v>5184000</v>
      </c>
      <c r="H60" s="40">
        <f t="shared" si="15"/>
        <v>7350000</v>
      </c>
      <c r="J60" s="12" t="s">
        <v>80</v>
      </c>
      <c r="K60" s="39">
        <f>NPV(K58,F44:K44)</f>
        <v>37475210.215707608</v>
      </c>
    </row>
    <row r="61" spans="2:15" x14ac:dyDescent="0.25">
      <c r="B61" s="30"/>
      <c r="C61" s="60">
        <f t="shared" ref="C61:H61" si="16">SUM(C49:C60)</f>
        <v>3700000</v>
      </c>
      <c r="D61" s="60">
        <f t="shared" si="16"/>
        <v>10707000</v>
      </c>
      <c r="E61" s="60">
        <f t="shared" si="16"/>
        <v>24648000</v>
      </c>
      <c r="F61" s="60">
        <f t="shared" si="16"/>
        <v>40953000</v>
      </c>
      <c r="G61" s="60">
        <f t="shared" si="16"/>
        <v>59400000</v>
      </c>
      <c r="H61" s="60">
        <f t="shared" si="16"/>
        <v>80605000</v>
      </c>
      <c r="J61" s="12" t="s">
        <v>77</v>
      </c>
      <c r="K61" s="39">
        <f>K60-F41</f>
        <v>18215210.215707608</v>
      </c>
    </row>
    <row r="62" spans="2:15" ht="15.75" thickBot="1" x14ac:dyDescent="0.3">
      <c r="J62" s="8" t="s">
        <v>81</v>
      </c>
      <c r="K62" s="9">
        <f>K60/F41</f>
        <v>1.9457533860699692</v>
      </c>
    </row>
    <row r="63" spans="2:15" x14ac:dyDescent="0.25">
      <c r="B63" s="78" t="s">
        <v>40</v>
      </c>
      <c r="C63" s="79"/>
      <c r="D63" s="79"/>
      <c r="E63" s="79"/>
      <c r="F63" s="79"/>
      <c r="G63" s="79"/>
      <c r="H63" s="80"/>
      <c r="J63" s="36"/>
    </row>
    <row r="64" spans="2:15" x14ac:dyDescent="0.25">
      <c r="B64" s="3"/>
      <c r="C64" s="1" t="s">
        <v>22</v>
      </c>
      <c r="D64" s="1" t="s">
        <v>13</v>
      </c>
      <c r="E64" s="1" t="s">
        <v>14</v>
      </c>
      <c r="F64" s="1" t="s">
        <v>15</v>
      </c>
      <c r="G64" s="1" t="s">
        <v>16</v>
      </c>
      <c r="H64" s="1" t="s">
        <v>17</v>
      </c>
      <c r="J64" s="83" t="s">
        <v>3</v>
      </c>
      <c r="K64" s="84"/>
      <c r="L64" s="84"/>
      <c r="M64" s="85"/>
    </row>
    <row r="65" spans="2:13" x14ac:dyDescent="0.25">
      <c r="B65" s="43" t="s">
        <v>28</v>
      </c>
      <c r="C65" s="61">
        <v>1</v>
      </c>
      <c r="D65" s="3">
        <v>5</v>
      </c>
      <c r="E65" s="3">
        <v>12</v>
      </c>
      <c r="F65" s="3">
        <v>17</v>
      </c>
      <c r="G65" s="3">
        <v>22</v>
      </c>
      <c r="H65" s="3">
        <v>26</v>
      </c>
      <c r="J65" s="3"/>
      <c r="K65" s="3" t="s">
        <v>58</v>
      </c>
      <c r="L65" s="3" t="s">
        <v>84</v>
      </c>
      <c r="M65" s="3" t="s">
        <v>85</v>
      </c>
    </row>
    <row r="66" spans="2:13" x14ac:dyDescent="0.25">
      <c r="B66" s="43" t="s">
        <v>29</v>
      </c>
      <c r="C66" s="61">
        <v>1</v>
      </c>
      <c r="D66" s="3">
        <v>5</v>
      </c>
      <c r="E66" s="3">
        <v>12</v>
      </c>
      <c r="F66" s="3">
        <v>17</v>
      </c>
      <c r="G66" s="3">
        <v>22</v>
      </c>
      <c r="H66" s="3">
        <v>26</v>
      </c>
      <c r="J66" s="3" t="s">
        <v>83</v>
      </c>
      <c r="K66" s="3">
        <v>3.74</v>
      </c>
      <c r="L66" s="3">
        <f>K66*1/15</f>
        <v>0.24933333333333335</v>
      </c>
      <c r="M66" s="3">
        <f>L66*12</f>
        <v>2.992</v>
      </c>
    </row>
    <row r="67" spans="2:13" x14ac:dyDescent="0.25">
      <c r="B67" s="43" t="s">
        <v>30</v>
      </c>
      <c r="C67" s="61">
        <v>2</v>
      </c>
      <c r="D67" s="3">
        <v>5</v>
      </c>
      <c r="E67" s="3">
        <v>12</v>
      </c>
      <c r="F67" s="3">
        <v>17</v>
      </c>
      <c r="G67" s="3">
        <v>22</v>
      </c>
      <c r="H67" s="3">
        <v>26</v>
      </c>
    </row>
    <row r="68" spans="2:13" x14ac:dyDescent="0.25">
      <c r="B68" s="43" t="s">
        <v>31</v>
      </c>
      <c r="C68" s="61">
        <v>2</v>
      </c>
      <c r="D68" s="3">
        <v>6</v>
      </c>
      <c r="E68" s="3">
        <v>12</v>
      </c>
      <c r="F68" s="3">
        <v>18</v>
      </c>
      <c r="G68" s="3">
        <v>22</v>
      </c>
      <c r="H68" s="3">
        <v>26</v>
      </c>
      <c r="J68" s="72"/>
    </row>
    <row r="69" spans="2:13" x14ac:dyDescent="0.25">
      <c r="B69" s="43" t="s">
        <v>32</v>
      </c>
      <c r="C69" s="61">
        <v>2</v>
      </c>
      <c r="D69" s="3">
        <v>6</v>
      </c>
      <c r="E69" s="3">
        <v>13</v>
      </c>
      <c r="F69" s="3">
        <v>18</v>
      </c>
      <c r="G69" s="3">
        <v>23</v>
      </c>
      <c r="H69" s="3">
        <v>27</v>
      </c>
    </row>
    <row r="70" spans="2:13" x14ac:dyDescent="0.25">
      <c r="B70" s="43" t="s">
        <v>33</v>
      </c>
      <c r="C70" s="61">
        <v>3</v>
      </c>
      <c r="D70" s="3">
        <v>5</v>
      </c>
      <c r="E70" s="3">
        <v>13</v>
      </c>
      <c r="F70" s="3">
        <v>18</v>
      </c>
      <c r="G70" s="3">
        <v>23</v>
      </c>
      <c r="H70" s="3">
        <v>27</v>
      </c>
    </row>
    <row r="71" spans="2:13" x14ac:dyDescent="0.25">
      <c r="B71" s="43" t="s">
        <v>34</v>
      </c>
      <c r="C71" s="61">
        <v>3</v>
      </c>
      <c r="D71" s="3">
        <v>5</v>
      </c>
      <c r="E71" s="3">
        <v>13</v>
      </c>
      <c r="F71" s="3">
        <v>18</v>
      </c>
      <c r="G71" s="3">
        <v>23</v>
      </c>
      <c r="H71" s="3">
        <v>27</v>
      </c>
    </row>
    <row r="72" spans="2:13" x14ac:dyDescent="0.25">
      <c r="B72" s="43" t="s">
        <v>35</v>
      </c>
      <c r="C72" s="61">
        <v>4</v>
      </c>
      <c r="D72" s="3">
        <v>7</v>
      </c>
      <c r="E72" s="3">
        <v>13</v>
      </c>
      <c r="F72" s="3">
        <v>18</v>
      </c>
      <c r="G72" s="3">
        <v>23</v>
      </c>
      <c r="H72" s="3">
        <v>28</v>
      </c>
    </row>
    <row r="73" spans="2:13" x14ac:dyDescent="0.25">
      <c r="B73" s="43" t="s">
        <v>36</v>
      </c>
      <c r="C73" s="61">
        <v>4</v>
      </c>
      <c r="D73" s="3">
        <v>7</v>
      </c>
      <c r="E73" s="3">
        <v>13</v>
      </c>
      <c r="F73" s="3">
        <v>19</v>
      </c>
      <c r="G73" s="3">
        <v>23</v>
      </c>
      <c r="H73" s="3">
        <v>28</v>
      </c>
    </row>
    <row r="74" spans="2:13" x14ac:dyDescent="0.25">
      <c r="B74" s="43" t="s">
        <v>37</v>
      </c>
      <c r="C74" s="61">
        <v>5</v>
      </c>
      <c r="D74" s="3">
        <v>10</v>
      </c>
      <c r="E74" s="3">
        <v>13</v>
      </c>
      <c r="F74" s="3">
        <v>19</v>
      </c>
      <c r="G74" s="3">
        <v>24</v>
      </c>
      <c r="H74" s="3">
        <v>28</v>
      </c>
    </row>
    <row r="75" spans="2:13" x14ac:dyDescent="0.25">
      <c r="B75" s="43" t="s">
        <v>38</v>
      </c>
      <c r="C75" s="61">
        <v>5</v>
      </c>
      <c r="D75" s="3">
        <v>10</v>
      </c>
      <c r="E75" s="3">
        <v>15</v>
      </c>
      <c r="F75" s="3">
        <v>20</v>
      </c>
      <c r="G75" s="3">
        <v>24</v>
      </c>
      <c r="H75" s="3">
        <v>30</v>
      </c>
    </row>
    <row r="76" spans="2:13" x14ac:dyDescent="0.25">
      <c r="B76" s="43" t="s">
        <v>39</v>
      </c>
      <c r="C76" s="61">
        <v>5</v>
      </c>
      <c r="D76" s="3">
        <v>12</v>
      </c>
      <c r="E76" s="3">
        <v>15</v>
      </c>
      <c r="F76" s="3">
        <v>20</v>
      </c>
      <c r="G76" s="3">
        <v>24</v>
      </c>
      <c r="H76" s="3">
        <v>30</v>
      </c>
    </row>
    <row r="77" spans="2:13" x14ac:dyDescent="0.25">
      <c r="B77" s="3"/>
      <c r="C77" s="62">
        <f t="shared" ref="C77:H77" si="17">SUM(C65:C76)</f>
        <v>37</v>
      </c>
      <c r="D77" s="1">
        <f t="shared" si="17"/>
        <v>83</v>
      </c>
      <c r="E77" s="1">
        <f t="shared" si="17"/>
        <v>156</v>
      </c>
      <c r="F77" s="1">
        <f t="shared" si="17"/>
        <v>219</v>
      </c>
      <c r="G77" s="1">
        <f t="shared" si="17"/>
        <v>275</v>
      </c>
      <c r="H77" s="1">
        <f t="shared" si="17"/>
        <v>329</v>
      </c>
    </row>
    <row r="79" spans="2:13" x14ac:dyDescent="0.25">
      <c r="B79" s="78" t="s">
        <v>41</v>
      </c>
      <c r="C79" s="79"/>
      <c r="D79" s="79"/>
      <c r="E79" s="79"/>
      <c r="F79" s="79"/>
      <c r="G79" s="79"/>
      <c r="H79" s="80"/>
    </row>
    <row r="80" spans="2:13" x14ac:dyDescent="0.25">
      <c r="B80" s="3"/>
      <c r="C80" s="1" t="s">
        <v>22</v>
      </c>
      <c r="D80" s="1" t="s">
        <v>13</v>
      </c>
      <c r="E80" s="1" t="s">
        <v>14</v>
      </c>
      <c r="F80" s="1" t="s">
        <v>15</v>
      </c>
      <c r="G80" s="1" t="s">
        <v>16</v>
      </c>
      <c r="H80" s="1" t="s">
        <v>17</v>
      </c>
    </row>
    <row r="81" spans="2:8" x14ac:dyDescent="0.25">
      <c r="B81" s="43" t="s">
        <v>28</v>
      </c>
      <c r="C81" s="3">
        <v>2</v>
      </c>
      <c r="D81" s="3">
        <v>5</v>
      </c>
      <c r="E81" s="3">
        <v>8</v>
      </c>
      <c r="F81" s="3">
        <v>12</v>
      </c>
      <c r="G81" s="3">
        <v>15</v>
      </c>
      <c r="H81" s="3">
        <v>18</v>
      </c>
    </row>
    <row r="82" spans="2:8" x14ac:dyDescent="0.25">
      <c r="B82" s="43" t="s">
        <v>29</v>
      </c>
      <c r="C82" s="3">
        <v>2</v>
      </c>
      <c r="D82" s="3">
        <v>5</v>
      </c>
      <c r="E82" s="3">
        <v>8</v>
      </c>
      <c r="F82" s="3">
        <v>12</v>
      </c>
      <c r="G82" s="3">
        <v>15</v>
      </c>
      <c r="H82" s="3">
        <v>18</v>
      </c>
    </row>
    <row r="83" spans="2:8" x14ac:dyDescent="0.25">
      <c r="B83" s="43" t="s">
        <v>30</v>
      </c>
      <c r="C83" s="3">
        <v>2</v>
      </c>
      <c r="D83" s="3">
        <v>6</v>
      </c>
      <c r="E83" s="3">
        <v>8</v>
      </c>
      <c r="F83" s="3">
        <v>12</v>
      </c>
      <c r="G83" s="3">
        <v>15</v>
      </c>
      <c r="H83" s="3">
        <v>18</v>
      </c>
    </row>
    <row r="84" spans="2:8" x14ac:dyDescent="0.25">
      <c r="B84" s="43" t="s">
        <v>31</v>
      </c>
      <c r="C84" s="3">
        <v>3</v>
      </c>
      <c r="D84" s="3">
        <v>6</v>
      </c>
      <c r="E84" s="3">
        <v>8</v>
      </c>
      <c r="F84" s="3">
        <v>12</v>
      </c>
      <c r="G84" s="3">
        <v>15</v>
      </c>
      <c r="H84" s="3">
        <v>18</v>
      </c>
    </row>
    <row r="85" spans="2:8" x14ac:dyDescent="0.25">
      <c r="B85" s="43" t="s">
        <v>32</v>
      </c>
      <c r="C85" s="3">
        <v>3</v>
      </c>
      <c r="D85" s="3">
        <v>6</v>
      </c>
      <c r="E85" s="3">
        <v>9</v>
      </c>
      <c r="F85" s="3">
        <v>12</v>
      </c>
      <c r="G85" s="3">
        <v>15</v>
      </c>
      <c r="H85" s="3">
        <v>18</v>
      </c>
    </row>
    <row r="86" spans="2:8" x14ac:dyDescent="0.25">
      <c r="B86" s="43" t="s">
        <v>33</v>
      </c>
      <c r="C86" s="3">
        <v>3</v>
      </c>
      <c r="D86" s="3">
        <v>7</v>
      </c>
      <c r="E86" s="3">
        <v>10</v>
      </c>
      <c r="F86" s="3">
        <v>13</v>
      </c>
      <c r="G86" s="3">
        <v>16</v>
      </c>
      <c r="H86" s="3">
        <v>18</v>
      </c>
    </row>
    <row r="87" spans="2:8" x14ac:dyDescent="0.25">
      <c r="B87" s="43" t="s">
        <v>34</v>
      </c>
      <c r="C87" s="3">
        <v>3</v>
      </c>
      <c r="D87" s="3">
        <v>7</v>
      </c>
      <c r="E87" s="3">
        <v>10</v>
      </c>
      <c r="F87" s="3">
        <v>13</v>
      </c>
      <c r="G87" s="3">
        <v>16</v>
      </c>
      <c r="H87" s="3">
        <v>19</v>
      </c>
    </row>
    <row r="88" spans="2:8" x14ac:dyDescent="0.25">
      <c r="B88" s="43" t="s">
        <v>35</v>
      </c>
      <c r="C88" s="3">
        <v>4</v>
      </c>
      <c r="D88" s="3">
        <v>7</v>
      </c>
      <c r="E88" s="3">
        <v>10</v>
      </c>
      <c r="F88" s="3">
        <v>13</v>
      </c>
      <c r="G88" s="3">
        <v>17</v>
      </c>
      <c r="H88" s="3">
        <v>19</v>
      </c>
    </row>
    <row r="89" spans="2:8" x14ac:dyDescent="0.25">
      <c r="B89" s="43" t="s">
        <v>36</v>
      </c>
      <c r="C89" s="3">
        <v>4</v>
      </c>
      <c r="D89" s="3">
        <v>8</v>
      </c>
      <c r="E89" s="3">
        <v>11</v>
      </c>
      <c r="F89" s="3">
        <v>13</v>
      </c>
      <c r="G89" s="3">
        <v>17</v>
      </c>
      <c r="H89" s="3">
        <v>19</v>
      </c>
    </row>
    <row r="90" spans="2:8" x14ac:dyDescent="0.25">
      <c r="B90" s="43" t="s">
        <v>37</v>
      </c>
      <c r="C90" s="3">
        <v>5</v>
      </c>
      <c r="D90" s="3">
        <v>8</v>
      </c>
      <c r="E90" s="3">
        <v>11</v>
      </c>
      <c r="F90" s="3">
        <v>14</v>
      </c>
      <c r="G90" s="3">
        <v>17</v>
      </c>
      <c r="H90" s="3">
        <v>20</v>
      </c>
    </row>
    <row r="91" spans="2:8" x14ac:dyDescent="0.25">
      <c r="B91" s="43" t="s">
        <v>38</v>
      </c>
      <c r="C91" s="3">
        <v>5</v>
      </c>
      <c r="D91" s="3">
        <v>8</v>
      </c>
      <c r="E91" s="3">
        <v>12</v>
      </c>
      <c r="F91" s="3">
        <v>14</v>
      </c>
      <c r="G91" s="3">
        <v>17</v>
      </c>
      <c r="H91" s="3">
        <v>20</v>
      </c>
    </row>
    <row r="92" spans="2:8" x14ac:dyDescent="0.25">
      <c r="B92" s="43" t="s">
        <v>39</v>
      </c>
      <c r="C92" s="3">
        <v>5</v>
      </c>
      <c r="D92" s="3">
        <v>8</v>
      </c>
      <c r="E92" s="3">
        <v>12</v>
      </c>
      <c r="F92" s="3">
        <v>14</v>
      </c>
      <c r="G92" s="3">
        <v>18</v>
      </c>
      <c r="H92" s="3">
        <v>20</v>
      </c>
    </row>
    <row r="93" spans="2:8" x14ac:dyDescent="0.25">
      <c r="B93" s="3"/>
      <c r="C93" s="1">
        <v>5</v>
      </c>
      <c r="D93" s="1">
        <v>8</v>
      </c>
      <c r="E93" s="1">
        <v>12</v>
      </c>
      <c r="F93" s="1">
        <v>14</v>
      </c>
      <c r="G93" s="1">
        <v>18</v>
      </c>
      <c r="H93" s="1">
        <v>20</v>
      </c>
    </row>
  </sheetData>
  <mergeCells count="31">
    <mergeCell ref="G8:J8"/>
    <mergeCell ref="B79:H79"/>
    <mergeCell ref="J48:O48"/>
    <mergeCell ref="J51:O51"/>
    <mergeCell ref="L11:N11"/>
    <mergeCell ref="L14:M14"/>
    <mergeCell ref="L17:O17"/>
    <mergeCell ref="L22:N22"/>
    <mergeCell ref="C43:E43"/>
    <mergeCell ref="C44:E44"/>
    <mergeCell ref="G12:H12"/>
    <mergeCell ref="G13:H13"/>
    <mergeCell ref="J64:M64"/>
    <mergeCell ref="L45:M45"/>
    <mergeCell ref="L40:M40"/>
    <mergeCell ref="C3:I3"/>
    <mergeCell ref="C7:I7"/>
    <mergeCell ref="B2:C2"/>
    <mergeCell ref="B63:H63"/>
    <mergeCell ref="B47:H47"/>
    <mergeCell ref="C23:E23"/>
    <mergeCell ref="C8:E8"/>
    <mergeCell ref="C41:E41"/>
    <mergeCell ref="C42:E42"/>
    <mergeCell ref="C30:E30"/>
    <mergeCell ref="G16:J16"/>
    <mergeCell ref="C26:E26"/>
    <mergeCell ref="C24:E24"/>
    <mergeCell ref="C25:E25"/>
    <mergeCell ref="G10:H10"/>
    <mergeCell ref="G11:H1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finanzas papas nativas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Jonathan Sosa</dc:creator>
  <cp:lastModifiedBy>Monica Maritza Cobos Calderon</cp:lastModifiedBy>
  <dcterms:created xsi:type="dcterms:W3CDTF">2016-11-24T16:12:15Z</dcterms:created>
  <dcterms:modified xsi:type="dcterms:W3CDTF">2025-07-01T21:35:36Z</dcterms:modified>
</cp:coreProperties>
</file>