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Ex1.xml" ContentType="application/vnd.ms-office.chartex+xml"/>
  <Override PartName="/xl/charts/style1.xml" ContentType="application/vnd.ms-office.chartstyle+xml"/>
  <Override PartName="/xl/charts/colors1.xml" ContentType="application/vnd.ms-office.chartcolorstyle+xml"/>
  <Override PartName="/xl/charts/chartEx2.xml" ContentType="application/vnd.ms-office.chartex+xml"/>
  <Override PartName="/xl/charts/style2.xml" ContentType="application/vnd.ms-office.chartstyle+xml"/>
  <Override PartName="/xl/charts/colors2.xml" ContentType="application/vnd.ms-office.chartcolorstyle+xml"/>
  <Override PartName="/xl/pivotTables/pivotTable1.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https://unicoceduco-my.sharepoint.com/personal/mfernandagarcia_unicoc_edu_co/Documents/TESIS 2024/"/>
    </mc:Choice>
  </mc:AlternateContent>
  <xr:revisionPtr revIDLastSave="7" documentId="13_ncr:1_{CCC0E181-12A1-4112-9B8C-3933594B0ACF}" xr6:coauthVersionLast="47" xr6:coauthVersionMax="47" xr10:uidLastSave="{8BFF58EA-104F-495F-9695-10951FF1BED6}"/>
  <bookViews>
    <workbookView xWindow="-120" yWindow="-120" windowWidth="20730" windowHeight="11040" xr2:uid="{DFAEBE60-D3F2-4FAB-A715-BBB59B97D9EA}"/>
  </bookViews>
  <sheets>
    <sheet name="BASE41 (2)" sheetId="6" r:id="rId1"/>
    <sheet name="RESULTADOS" sheetId="4" r:id="rId2"/>
    <sheet name="BASE41" sheetId="1" r:id="rId3"/>
    <sheet name="base" sheetId="3" r:id="rId4"/>
    <sheet name="Hoja2" sheetId="2" r:id="rId5"/>
  </sheets>
  <externalReferences>
    <externalReference r:id="rId6"/>
  </externalReferences>
  <definedNames>
    <definedName name="_xlnm._FilterDatabase" localSheetId="0" hidden="1">'BASE41 (2)'!$AP$6:$AR$48</definedName>
    <definedName name="_xlchart.v1.0" hidden="1">'BASE41 (2)'!$P$6</definedName>
    <definedName name="_xlchart.v1.1" hidden="1">'BASE41 (2)'!$P$7:$P$47</definedName>
    <definedName name="_xlchart.v1.2" hidden="1">'BASE41 (2)'!$Q$6</definedName>
    <definedName name="_xlchart.v1.3" hidden="1">'BASE41 (2)'!$Q$7:$Q$47</definedName>
    <definedName name="_xlchart.v1.4" hidden="1">'BASE41 (2)'!$N$6</definedName>
    <definedName name="_xlchart.v1.5" hidden="1">'BASE41 (2)'!$N$7:$N$47</definedName>
    <definedName name="_xlchart.v1.6" hidden="1">'BASE41 (2)'!$O$6</definedName>
    <definedName name="_xlchart.v1.7" hidden="1">'BASE41 (2)'!$O$7:$O$47</definedName>
  </definedNames>
  <calcPr calcId="191028"/>
  <pivotCaches>
    <pivotCache cacheId="0" r:id="rId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2" i="6" l="1"/>
  <c r="E51" i="6"/>
  <c r="G49" i="6"/>
  <c r="C52" i="6"/>
  <c r="C51" i="6"/>
  <c r="AE5" i="4"/>
  <c r="AE4" i="4"/>
  <c r="AU17" i="6"/>
  <c r="AT17" i="6"/>
  <c r="AQ48" i="6"/>
  <c r="AP48" i="6"/>
  <c r="AR8" i="6"/>
  <c r="AR9" i="6"/>
  <c r="AR10" i="6"/>
  <c r="AR11" i="6"/>
  <c r="AR12" i="6"/>
  <c r="AR13" i="6"/>
  <c r="AR14" i="6"/>
  <c r="AR15" i="6"/>
  <c r="AR16" i="6"/>
  <c r="AR17" i="6"/>
  <c r="AR18" i="6"/>
  <c r="AR19" i="6"/>
  <c r="AR20" i="6"/>
  <c r="AR21" i="6"/>
  <c r="AR22" i="6"/>
  <c r="AR23" i="6"/>
  <c r="AR24" i="6"/>
  <c r="AR25" i="6"/>
  <c r="AR26" i="6"/>
  <c r="AR27" i="6"/>
  <c r="AR28" i="6"/>
  <c r="AR29" i="6"/>
  <c r="AR30" i="6"/>
  <c r="AR31" i="6"/>
  <c r="AR32" i="6"/>
  <c r="AR33" i="6"/>
  <c r="AR34" i="6"/>
  <c r="AR35" i="6"/>
  <c r="AR36" i="6"/>
  <c r="AR37" i="6"/>
  <c r="AR38" i="6"/>
  <c r="AR39" i="6"/>
  <c r="AR40" i="6"/>
  <c r="AR41" i="6"/>
  <c r="AR42" i="6"/>
  <c r="AR43" i="6"/>
  <c r="AR44" i="6"/>
  <c r="AR45" i="6"/>
  <c r="AR46" i="6"/>
  <c r="AR47" i="6"/>
  <c r="AR7" i="6"/>
  <c r="AU11" i="6" s="1"/>
  <c r="AT18" i="6" a="1"/>
  <c r="AU10" i="6"/>
  <c r="AR48" i="6" l="1"/>
  <c r="AU12" i="6"/>
  <c r="AU13" i="6" s="1"/>
  <c r="AT18" i="6"/>
  <c r="AU18" i="6"/>
  <c r="AE8" i="6"/>
  <c r="AF8" i="6"/>
  <c r="AG8" i="6"/>
  <c r="AH8" i="6"/>
  <c r="AI8" i="6"/>
  <c r="AD8" i="6"/>
  <c r="W9" i="6"/>
  <c r="X9" i="6"/>
  <c r="Y9" i="6"/>
  <c r="Z9" i="6"/>
  <c r="AA9" i="6"/>
  <c r="W10" i="6"/>
  <c r="X10" i="6"/>
  <c r="Y10" i="6"/>
  <c r="Z10" i="6"/>
  <c r="AA10" i="6"/>
  <c r="W11" i="6"/>
  <c r="X11" i="6"/>
  <c r="Y11" i="6"/>
  <c r="Z11" i="6"/>
  <c r="AA11" i="6"/>
  <c r="W12" i="6"/>
  <c r="X12" i="6"/>
  <c r="Y12" i="6"/>
  <c r="Z12" i="6"/>
  <c r="AA12" i="6"/>
  <c r="W13" i="6"/>
  <c r="X13" i="6"/>
  <c r="Y13" i="6"/>
  <c r="Z13" i="6"/>
  <c r="AA13" i="6"/>
  <c r="W14" i="6"/>
  <c r="X14" i="6"/>
  <c r="Y14" i="6"/>
  <c r="Z14" i="6"/>
  <c r="AA14" i="6"/>
  <c r="W15" i="6"/>
  <c r="X15" i="6"/>
  <c r="Y15" i="6"/>
  <c r="Z15" i="6"/>
  <c r="AA15" i="6"/>
  <c r="W16" i="6"/>
  <c r="X16" i="6"/>
  <c r="Y16" i="6"/>
  <c r="Z16" i="6"/>
  <c r="AA16" i="6"/>
  <c r="W18" i="6"/>
  <c r="X18" i="6"/>
  <c r="Y18" i="6"/>
  <c r="Z18" i="6"/>
  <c r="AA18" i="6"/>
  <c r="AA17" i="6" s="1"/>
  <c r="W19" i="6"/>
  <c r="X19" i="6"/>
  <c r="Y19" i="6"/>
  <c r="Z19" i="6"/>
  <c r="AA19" i="6"/>
  <c r="W20" i="6"/>
  <c r="X20" i="6"/>
  <c r="Y20" i="6"/>
  <c r="Z20" i="6"/>
  <c r="AA20" i="6"/>
  <c r="W21" i="6"/>
  <c r="X21" i="6"/>
  <c r="Y21" i="6"/>
  <c r="Z21" i="6"/>
  <c r="AA21" i="6"/>
  <c r="W22" i="6"/>
  <c r="X22" i="6"/>
  <c r="Y22" i="6"/>
  <c r="Z22" i="6"/>
  <c r="AA22" i="6"/>
  <c r="W23" i="6"/>
  <c r="X23" i="6"/>
  <c r="Y23" i="6"/>
  <c r="Z23" i="6"/>
  <c r="AA23" i="6"/>
  <c r="W24" i="6"/>
  <c r="X24" i="6"/>
  <c r="Y24" i="6"/>
  <c r="Z24" i="6"/>
  <c r="AA24" i="6"/>
  <c r="V24" i="6"/>
  <c r="V23" i="6"/>
  <c r="V22" i="6"/>
  <c r="V21" i="6"/>
  <c r="V20" i="6"/>
  <c r="V19" i="6"/>
  <c r="V18" i="6"/>
  <c r="V16" i="6"/>
  <c r="V15" i="6"/>
  <c r="V14" i="6"/>
  <c r="V13" i="6"/>
  <c r="V12" i="6"/>
  <c r="V11" i="6"/>
  <c r="V10" i="6"/>
  <c r="V9" i="6"/>
  <c r="W8" i="6"/>
  <c r="X8" i="6"/>
  <c r="Y8" i="6"/>
  <c r="Z8" i="6"/>
  <c r="AA8" i="6"/>
  <c r="V8" i="6"/>
  <c r="W268" i="3"/>
  <c r="V268" i="3"/>
  <c r="W262" i="3"/>
  <c r="K330" i="3"/>
  <c r="K331" i="3"/>
  <c r="K332" i="3"/>
  <c r="K333" i="3"/>
  <c r="K334" i="3"/>
  <c r="K335" i="3"/>
  <c r="K336" i="3"/>
  <c r="K337" i="3"/>
  <c r="K338" i="3"/>
  <c r="K339" i="3"/>
  <c r="K340" i="3"/>
  <c r="K341" i="3"/>
  <c r="K342" i="3"/>
  <c r="K343" i="3"/>
  <c r="K344" i="3"/>
  <c r="K345" i="3"/>
  <c r="K351" i="3"/>
  <c r="K346" i="3"/>
  <c r="K347" i="3"/>
  <c r="K348" i="3"/>
  <c r="K352" i="3"/>
  <c r="K349" i="3"/>
  <c r="K350" i="3"/>
  <c r="K329" i="3"/>
  <c r="M268" i="3"/>
  <c r="L268" i="3"/>
  <c r="M262" i="3"/>
  <c r="S215" i="3"/>
  <c r="S209" i="3"/>
  <c r="S208" i="3"/>
  <c r="T206" i="3"/>
  <c r="S206" i="3"/>
  <c r="T205" i="3"/>
  <c r="S205" i="3"/>
  <c r="M214" i="3"/>
  <c r="L214" i="3"/>
  <c r="K214" i="3"/>
  <c r="J214" i="3"/>
  <c r="I214" i="3"/>
  <c r="M213" i="3"/>
  <c r="J213" i="3"/>
  <c r="I213" i="3"/>
  <c r="P209" i="3"/>
  <c r="O209" i="3"/>
  <c r="N209" i="3"/>
  <c r="M209" i="3"/>
  <c r="L209" i="3"/>
  <c r="K209" i="3" a="1"/>
  <c r="K209" i="3" s="1"/>
  <c r="J209" i="3"/>
  <c r="I209" i="3"/>
  <c r="K208" i="3"/>
  <c r="J208" i="3"/>
  <c r="I208" i="3"/>
  <c r="K207" i="3"/>
  <c r="J207" i="3"/>
  <c r="I207" i="3"/>
  <c r="H208" i="3"/>
  <c r="H207" i="3"/>
  <c r="I147" i="3"/>
  <c r="N137" i="3" s="1"/>
  <c r="I68" i="3"/>
  <c r="N58" i="3" s="1"/>
  <c r="X6" i="3"/>
  <c r="Y6" i="3"/>
  <c r="Z6" i="3"/>
  <c r="AA6" i="3"/>
  <c r="AB6" i="3"/>
  <c r="AC6" i="3"/>
  <c r="AD6" i="3"/>
  <c r="W6" i="3"/>
  <c r="N7" i="3"/>
  <c r="O7" i="3"/>
  <c r="P7" i="3"/>
  <c r="Q7" i="3"/>
  <c r="R7" i="3"/>
  <c r="S7" i="3"/>
  <c r="T7" i="3"/>
  <c r="N8" i="3"/>
  <c r="O8" i="3"/>
  <c r="P8" i="3"/>
  <c r="Q8" i="3"/>
  <c r="R8" i="3"/>
  <c r="S8" i="3"/>
  <c r="T8" i="3"/>
  <c r="N9" i="3"/>
  <c r="O9" i="3"/>
  <c r="P9" i="3"/>
  <c r="Q9" i="3"/>
  <c r="R9" i="3"/>
  <c r="S9" i="3"/>
  <c r="T9" i="3"/>
  <c r="N10" i="3"/>
  <c r="O10" i="3"/>
  <c r="P10" i="3"/>
  <c r="Q10" i="3"/>
  <c r="R10" i="3"/>
  <c r="S10" i="3"/>
  <c r="T10" i="3"/>
  <c r="N11" i="3"/>
  <c r="O11" i="3"/>
  <c r="P11" i="3"/>
  <c r="Q11" i="3"/>
  <c r="R11" i="3"/>
  <c r="S11" i="3"/>
  <c r="T11" i="3"/>
  <c r="N12" i="3"/>
  <c r="O12" i="3"/>
  <c r="P12" i="3"/>
  <c r="Q12" i="3"/>
  <c r="R12" i="3"/>
  <c r="S12" i="3"/>
  <c r="T12" i="3"/>
  <c r="N13" i="3"/>
  <c r="O13" i="3"/>
  <c r="P13" i="3"/>
  <c r="Q13" i="3"/>
  <c r="R13" i="3"/>
  <c r="S13" i="3"/>
  <c r="T13" i="3"/>
  <c r="N14" i="3"/>
  <c r="O14" i="3"/>
  <c r="P14" i="3"/>
  <c r="Q14" i="3"/>
  <c r="R14" i="3"/>
  <c r="S14" i="3"/>
  <c r="T14" i="3"/>
  <c r="N16" i="3"/>
  <c r="O16" i="3"/>
  <c r="P16" i="3"/>
  <c r="Q16" i="3"/>
  <c r="R16" i="3"/>
  <c r="S16" i="3"/>
  <c r="T16" i="3"/>
  <c r="T15" i="3" s="1"/>
  <c r="N17" i="3"/>
  <c r="O17" i="3"/>
  <c r="P17" i="3"/>
  <c r="Q17" i="3"/>
  <c r="R17" i="3"/>
  <c r="S17" i="3"/>
  <c r="T17" i="3"/>
  <c r="N18" i="3"/>
  <c r="O18" i="3"/>
  <c r="P18" i="3"/>
  <c r="Q18" i="3"/>
  <c r="R18" i="3"/>
  <c r="S18" i="3"/>
  <c r="T18" i="3"/>
  <c r="N19" i="3"/>
  <c r="O19" i="3"/>
  <c r="P19" i="3"/>
  <c r="Q19" i="3"/>
  <c r="R19" i="3"/>
  <c r="S19" i="3"/>
  <c r="T19" i="3"/>
  <c r="N20" i="3"/>
  <c r="O20" i="3"/>
  <c r="P20" i="3"/>
  <c r="Q20" i="3"/>
  <c r="R20" i="3"/>
  <c r="S20" i="3"/>
  <c r="T20" i="3"/>
  <c r="N21" i="3"/>
  <c r="O21" i="3"/>
  <c r="P21" i="3"/>
  <c r="Q21" i="3"/>
  <c r="R21" i="3"/>
  <c r="S21" i="3"/>
  <c r="T21" i="3"/>
  <c r="N22" i="3"/>
  <c r="O22" i="3"/>
  <c r="P22" i="3"/>
  <c r="Q22" i="3"/>
  <c r="R22" i="3"/>
  <c r="S22" i="3"/>
  <c r="T22" i="3"/>
  <c r="M22" i="3"/>
  <c r="M21" i="3"/>
  <c r="M20" i="3"/>
  <c r="M19" i="3"/>
  <c r="M18" i="3"/>
  <c r="M17" i="3"/>
  <c r="M16" i="3"/>
  <c r="M14" i="3"/>
  <c r="M13" i="3"/>
  <c r="M12" i="3"/>
  <c r="M11" i="3"/>
  <c r="M10" i="3"/>
  <c r="M9" i="3"/>
  <c r="M8" i="3"/>
  <c r="M7" i="3"/>
  <c r="N6" i="3"/>
  <c r="O6" i="3"/>
  <c r="P6" i="3"/>
  <c r="Q6" i="3"/>
  <c r="R6" i="3"/>
  <c r="S6" i="3"/>
  <c r="T6" i="3"/>
  <c r="M6" i="3"/>
  <c r="AE16" i="6"/>
  <c r="AH17" i="6"/>
  <c r="AE17" i="6"/>
  <c r="AF16" i="6"/>
  <c r="AI17" i="6"/>
  <c r="AG16" i="6"/>
  <c r="AF17" i="6"/>
  <c r="AG17" i="6"/>
  <c r="AH16" i="6"/>
  <c r="AI16" i="6"/>
  <c r="AD17" i="6"/>
  <c r="AD16" i="6"/>
  <c r="AE9" i="6"/>
  <c r="AH10" i="6"/>
  <c r="AI9" i="6"/>
  <c r="AG10" i="6"/>
  <c r="AF9" i="6"/>
  <c r="AI10" i="6"/>
  <c r="AE10" i="6"/>
  <c r="AF10" i="6"/>
  <c r="AG9" i="6"/>
  <c r="AH9" i="6"/>
  <c r="AD10" i="6"/>
  <c r="AD9" i="6"/>
  <c r="W25" i="6"/>
  <c r="Z26" i="6"/>
  <c r="X25" i="6"/>
  <c r="AA26" i="6"/>
  <c r="Y25" i="6"/>
  <c r="X26" i="6"/>
  <c r="Z25" i="6"/>
  <c r="AA25" i="6"/>
  <c r="W26" i="6"/>
  <c r="Y26" i="6"/>
  <c r="V26" i="6"/>
  <c r="V25" i="6"/>
  <c r="W261" i="3"/>
  <c r="Q24" i="3"/>
  <c r="N23" i="3"/>
  <c r="O24" i="3"/>
  <c r="O23" i="3"/>
  <c r="P24" i="3"/>
  <c r="S23" i="3"/>
  <c r="X8" i="3"/>
  <c r="AA7" i="3"/>
  <c r="S24" i="3"/>
  <c r="AD15" i="3"/>
  <c r="W7" i="3"/>
  <c r="AD8" i="3"/>
  <c r="V269" i="3" a="1"/>
  <c r="M23" i="3"/>
  <c r="N24" i="3"/>
  <c r="Q23" i="3"/>
  <c r="R24" i="3"/>
  <c r="T24" i="3"/>
  <c r="R23" i="3"/>
  <c r="T23" i="3"/>
  <c r="W8" i="3"/>
  <c r="F145" i="3" a="1"/>
  <c r="AC14" i="3"/>
  <c r="X7" i="3"/>
  <c r="Z7" i="3"/>
  <c r="AC7" i="3"/>
  <c r="W15" i="3"/>
  <c r="G132" i="3" a="1"/>
  <c r="S216" i="3"/>
  <c r="S212" i="3"/>
  <c r="S131" i="3" a="1"/>
  <c r="G144" i="3" a="1"/>
  <c r="L269" i="3" a="1"/>
  <c r="P23" i="3"/>
  <c r="AC15" i="3"/>
  <c r="G53" i="3" a="1"/>
  <c r="Y7" i="3"/>
  <c r="X15" i="3"/>
  <c r="AB7" i="3"/>
  <c r="AA8" i="3"/>
  <c r="F54" i="3" a="1"/>
  <c r="F133" i="3" a="1"/>
  <c r="S52" i="3" a="1"/>
  <c r="G65" i="3" a="1"/>
  <c r="F66" i="3" a="1"/>
  <c r="G59" i="3" a="1"/>
  <c r="G138" i="3" a="1"/>
  <c r="M261" i="3"/>
  <c r="M24" i="3"/>
  <c r="W14" i="3"/>
  <c r="AD14" i="3"/>
  <c r="Y8" i="3"/>
  <c r="Z8" i="3"/>
  <c r="AB15" i="3"/>
  <c r="X14" i="3"/>
  <c r="Y15" i="3"/>
  <c r="Y14" i="3"/>
  <c r="Z15" i="3"/>
  <c r="Z14" i="3"/>
  <c r="F60" i="3" a="1"/>
  <c r="F139" i="3" a="1"/>
  <c r="S220" i="3"/>
  <c r="AB14" i="3"/>
  <c r="AA15" i="3"/>
  <c r="AB8" i="3"/>
  <c r="AA14" i="3"/>
  <c r="AC8" i="3"/>
  <c r="AD7" i="3"/>
  <c r="Z17" i="6" l="1"/>
  <c r="Y17" i="6"/>
  <c r="AD12" i="6"/>
  <c r="AD19" i="6"/>
  <c r="X17" i="6"/>
  <c r="W17" i="6"/>
  <c r="AG19" i="6"/>
  <c r="AF19" i="6"/>
  <c r="AI19" i="6"/>
  <c r="AE19" i="6"/>
  <c r="AH19" i="6"/>
  <c r="AF12" i="6"/>
  <c r="AE12" i="6"/>
  <c r="AI12" i="6"/>
  <c r="AG12" i="6"/>
  <c r="AH12" i="6"/>
  <c r="V17" i="6"/>
  <c r="W269" i="3"/>
  <c r="V269" i="3"/>
  <c r="W263" i="3"/>
  <c r="W264" i="3" s="1"/>
  <c r="T220" i="3"/>
  <c r="M263" i="3"/>
  <c r="M264" i="3" s="1"/>
  <c r="S210" i="3"/>
  <c r="S211" i="3" s="1"/>
  <c r="S217" i="3"/>
  <c r="L269" i="3"/>
  <c r="M269" i="3"/>
  <c r="S15" i="3"/>
  <c r="R15" i="3"/>
  <c r="Q15" i="3"/>
  <c r="P15" i="3"/>
  <c r="T133" i="3"/>
  <c r="S136" i="3"/>
  <c r="U138" i="3"/>
  <c r="T141" i="3"/>
  <c r="S144" i="3"/>
  <c r="U146" i="3"/>
  <c r="T149" i="3"/>
  <c r="S152" i="3"/>
  <c r="U154" i="3"/>
  <c r="T157" i="3"/>
  <c r="S160" i="3"/>
  <c r="U162" i="3"/>
  <c r="T165" i="3"/>
  <c r="S168" i="3"/>
  <c r="U170" i="3"/>
  <c r="T173" i="3"/>
  <c r="S176" i="3"/>
  <c r="U178" i="3"/>
  <c r="U148" i="3"/>
  <c r="S131" i="3"/>
  <c r="U133" i="3"/>
  <c r="T136" i="3"/>
  <c r="S139" i="3"/>
  <c r="U141" i="3"/>
  <c r="T144" i="3"/>
  <c r="S147" i="3"/>
  <c r="U149" i="3"/>
  <c r="T152" i="3"/>
  <c r="S155" i="3"/>
  <c r="U157" i="3"/>
  <c r="T160" i="3"/>
  <c r="S163" i="3"/>
  <c r="U165" i="3"/>
  <c r="T168" i="3"/>
  <c r="S171" i="3"/>
  <c r="U173" i="3"/>
  <c r="T176" i="3"/>
  <c r="S179" i="3"/>
  <c r="S146" i="3"/>
  <c r="T131" i="3"/>
  <c r="S134" i="3"/>
  <c r="U136" i="3"/>
  <c r="T139" i="3"/>
  <c r="S142" i="3"/>
  <c r="U144" i="3"/>
  <c r="T147" i="3"/>
  <c r="S150" i="3"/>
  <c r="U152" i="3"/>
  <c r="T155" i="3"/>
  <c r="S158" i="3"/>
  <c r="U160" i="3"/>
  <c r="T163" i="3"/>
  <c r="S166" i="3"/>
  <c r="U168" i="3"/>
  <c r="T171" i="3"/>
  <c r="S174" i="3"/>
  <c r="U176" i="3"/>
  <c r="T179" i="3"/>
  <c r="U140" i="3"/>
  <c r="U131" i="3"/>
  <c r="T134" i="3"/>
  <c r="S137" i="3"/>
  <c r="U139" i="3"/>
  <c r="T142" i="3"/>
  <c r="S145" i="3"/>
  <c r="U147" i="3"/>
  <c r="T150" i="3"/>
  <c r="S153" i="3"/>
  <c r="U155" i="3"/>
  <c r="T158" i="3"/>
  <c r="S161" i="3"/>
  <c r="U163" i="3"/>
  <c r="T166" i="3"/>
  <c r="S169" i="3"/>
  <c r="U171" i="3"/>
  <c r="T174" i="3"/>
  <c r="S177" i="3"/>
  <c r="U179" i="3"/>
  <c r="T143" i="3"/>
  <c r="S178" i="3"/>
  <c r="S132" i="3"/>
  <c r="U134" i="3"/>
  <c r="T137" i="3"/>
  <c r="S140" i="3"/>
  <c r="U142" i="3"/>
  <c r="T145" i="3"/>
  <c r="S148" i="3"/>
  <c r="U150" i="3"/>
  <c r="T153" i="3"/>
  <c r="S156" i="3"/>
  <c r="U158" i="3"/>
  <c r="T161" i="3"/>
  <c r="S164" i="3"/>
  <c r="U166" i="3"/>
  <c r="T169" i="3"/>
  <c r="S172" i="3"/>
  <c r="U174" i="3"/>
  <c r="T177" i="3"/>
  <c r="U172" i="3"/>
  <c r="T132" i="3"/>
  <c r="S135" i="3"/>
  <c r="U137" i="3"/>
  <c r="T140" i="3"/>
  <c r="S143" i="3"/>
  <c r="U145" i="3"/>
  <c r="T148" i="3"/>
  <c r="S151" i="3"/>
  <c r="U153" i="3"/>
  <c r="T156" i="3"/>
  <c r="S159" i="3"/>
  <c r="U161" i="3"/>
  <c r="T164" i="3"/>
  <c r="S167" i="3"/>
  <c r="U169" i="3"/>
  <c r="T172" i="3"/>
  <c r="S175" i="3"/>
  <c r="U177" i="3"/>
  <c r="T135" i="3"/>
  <c r="S154" i="3"/>
  <c r="T159" i="3"/>
  <c r="U164" i="3"/>
  <c r="S170" i="3"/>
  <c r="U132" i="3"/>
  <c r="S138" i="3"/>
  <c r="T151" i="3"/>
  <c r="U156" i="3"/>
  <c r="S162" i="3"/>
  <c r="T167" i="3"/>
  <c r="T175" i="3"/>
  <c r="S133" i="3"/>
  <c r="U135" i="3"/>
  <c r="T138" i="3"/>
  <c r="S141" i="3"/>
  <c r="U143" i="3"/>
  <c r="T146" i="3"/>
  <c r="S149" i="3"/>
  <c r="U151" i="3"/>
  <c r="T154" i="3"/>
  <c r="S157" i="3"/>
  <c r="U159" i="3"/>
  <c r="T162" i="3"/>
  <c r="S165" i="3"/>
  <c r="U167" i="3"/>
  <c r="T170" i="3"/>
  <c r="S173" i="3"/>
  <c r="U175" i="3"/>
  <c r="T178" i="3"/>
  <c r="G144" i="3"/>
  <c r="G147" i="3" s="1" a="1"/>
  <c r="G147" i="3" s="1"/>
  <c r="H144" i="3"/>
  <c r="H147" i="3" s="1" a="1"/>
  <c r="H147" i="3" s="1"/>
  <c r="F145" i="3"/>
  <c r="F146" i="3"/>
  <c r="G138" i="3"/>
  <c r="H138" i="3"/>
  <c r="F139" i="3"/>
  <c r="F140" i="3"/>
  <c r="G132" i="3"/>
  <c r="H132" i="3"/>
  <c r="F133" i="3"/>
  <c r="F134" i="3"/>
  <c r="T54" i="3"/>
  <c r="S57" i="3"/>
  <c r="U59" i="3"/>
  <c r="T62" i="3"/>
  <c r="S65" i="3"/>
  <c r="U67" i="3"/>
  <c r="T70" i="3"/>
  <c r="S73" i="3"/>
  <c r="U75" i="3"/>
  <c r="T78" i="3"/>
  <c r="S81" i="3"/>
  <c r="U83" i="3"/>
  <c r="T86" i="3"/>
  <c r="S89" i="3"/>
  <c r="U91" i="3"/>
  <c r="T94" i="3"/>
  <c r="S97" i="3"/>
  <c r="U99" i="3"/>
  <c r="S52" i="3"/>
  <c r="U54" i="3"/>
  <c r="T57" i="3"/>
  <c r="S60" i="3"/>
  <c r="U62" i="3"/>
  <c r="T65" i="3"/>
  <c r="S68" i="3"/>
  <c r="U70" i="3"/>
  <c r="T73" i="3"/>
  <c r="S76" i="3"/>
  <c r="U78" i="3"/>
  <c r="T81" i="3"/>
  <c r="S84" i="3"/>
  <c r="U86" i="3"/>
  <c r="T89" i="3"/>
  <c r="S92" i="3"/>
  <c r="U94" i="3"/>
  <c r="T97" i="3"/>
  <c r="S100" i="3"/>
  <c r="T52" i="3"/>
  <c r="S55" i="3"/>
  <c r="U57" i="3"/>
  <c r="T60" i="3"/>
  <c r="S63" i="3"/>
  <c r="U65" i="3"/>
  <c r="T68" i="3"/>
  <c r="S71" i="3"/>
  <c r="U73" i="3"/>
  <c r="T76" i="3"/>
  <c r="S79" i="3"/>
  <c r="U81" i="3"/>
  <c r="T84" i="3"/>
  <c r="S87" i="3"/>
  <c r="U89" i="3"/>
  <c r="T92" i="3"/>
  <c r="S95" i="3"/>
  <c r="U97" i="3"/>
  <c r="T100" i="3"/>
  <c r="T64" i="3"/>
  <c r="T96" i="3"/>
  <c r="U52" i="3"/>
  <c r="T55" i="3"/>
  <c r="S58" i="3"/>
  <c r="U60" i="3"/>
  <c r="T63" i="3"/>
  <c r="S66" i="3"/>
  <c r="U68" i="3"/>
  <c r="T71" i="3"/>
  <c r="S74" i="3"/>
  <c r="U76" i="3"/>
  <c r="T79" i="3"/>
  <c r="S82" i="3"/>
  <c r="U84" i="3"/>
  <c r="T87" i="3"/>
  <c r="S90" i="3"/>
  <c r="U92" i="3"/>
  <c r="T95" i="3"/>
  <c r="S98" i="3"/>
  <c r="U100" i="3"/>
  <c r="S67" i="3"/>
  <c r="S99" i="3"/>
  <c r="S53" i="3"/>
  <c r="U55" i="3"/>
  <c r="T58" i="3"/>
  <c r="S61" i="3"/>
  <c r="U63" i="3"/>
  <c r="T66" i="3"/>
  <c r="S69" i="3"/>
  <c r="U71" i="3"/>
  <c r="T74" i="3"/>
  <c r="S77" i="3"/>
  <c r="U79" i="3"/>
  <c r="T82" i="3"/>
  <c r="S85" i="3"/>
  <c r="U87" i="3"/>
  <c r="T90" i="3"/>
  <c r="S93" i="3"/>
  <c r="U95" i="3"/>
  <c r="T98" i="3"/>
  <c r="S59" i="3"/>
  <c r="S75" i="3"/>
  <c r="U77" i="3"/>
  <c r="T80" i="3"/>
  <c r="S83" i="3"/>
  <c r="U85" i="3"/>
  <c r="T88" i="3"/>
  <c r="U93" i="3"/>
  <c r="T53" i="3"/>
  <c r="S56" i="3"/>
  <c r="U58" i="3"/>
  <c r="T61" i="3"/>
  <c r="S64" i="3"/>
  <c r="U66" i="3"/>
  <c r="T69" i="3"/>
  <c r="S72" i="3"/>
  <c r="U74" i="3"/>
  <c r="T77" i="3"/>
  <c r="S80" i="3"/>
  <c r="U82" i="3"/>
  <c r="T85" i="3"/>
  <c r="S88" i="3"/>
  <c r="U90" i="3"/>
  <c r="T93" i="3"/>
  <c r="S96" i="3"/>
  <c r="U98" i="3"/>
  <c r="U69" i="3"/>
  <c r="U53" i="3"/>
  <c r="T56" i="3"/>
  <c r="U61" i="3"/>
  <c r="T72" i="3"/>
  <c r="S54" i="3"/>
  <c r="U56" i="3"/>
  <c r="T59" i="3"/>
  <c r="S62" i="3"/>
  <c r="U64" i="3"/>
  <c r="T67" i="3"/>
  <c r="S70" i="3"/>
  <c r="U72" i="3"/>
  <c r="T75" i="3"/>
  <c r="S78" i="3"/>
  <c r="U80" i="3"/>
  <c r="T83" i="3"/>
  <c r="S86" i="3"/>
  <c r="U88" i="3"/>
  <c r="T91" i="3"/>
  <c r="S94" i="3"/>
  <c r="U96" i="3"/>
  <c r="T99" i="3"/>
  <c r="S91" i="3"/>
  <c r="G65" i="3"/>
  <c r="G68" i="3" s="1" a="1"/>
  <c r="G68" i="3" s="1"/>
  <c r="H65" i="3"/>
  <c r="H68" i="3" s="1" a="1"/>
  <c r="H68" i="3" s="1"/>
  <c r="F66" i="3"/>
  <c r="F67" i="3"/>
  <c r="G59" i="3"/>
  <c r="H59" i="3"/>
  <c r="F60" i="3"/>
  <c r="F61" i="3"/>
  <c r="G53" i="3"/>
  <c r="H53" i="3"/>
  <c r="F54" i="3"/>
  <c r="F55" i="3"/>
  <c r="O15" i="3"/>
  <c r="N15" i="3"/>
  <c r="W10" i="3"/>
  <c r="W17" i="3"/>
  <c r="X17" i="3"/>
  <c r="AD17" i="3"/>
  <c r="AC17" i="3"/>
  <c r="AB17" i="3"/>
  <c r="AA17" i="3"/>
  <c r="Z17" i="3"/>
  <c r="Y17" i="3"/>
  <c r="X10" i="3"/>
  <c r="AD10" i="3"/>
  <c r="AC10" i="3"/>
  <c r="AB10" i="3"/>
  <c r="AA10" i="3"/>
  <c r="Z10" i="3"/>
  <c r="Y10" i="3"/>
  <c r="M15" i="3"/>
  <c r="S219" i="3" l="1"/>
  <c r="T219" i="3" s="1"/>
  <c r="S218" i="3"/>
  <c r="F108" i="3" a="1"/>
  <c r="F108" i="3" s="1"/>
  <c r="F113" i="3" s="1"/>
  <c r="H139" i="3" a="1"/>
  <c r="H139" i="3" s="1"/>
  <c r="G139" i="3" a="1"/>
  <c r="G139" i="3" s="1"/>
  <c r="G61" i="3" a="1"/>
  <c r="G61" i="3" s="1"/>
  <c r="H61" i="3" a="1"/>
  <c r="H61" i="3" s="1"/>
  <c r="H60" i="3" a="1"/>
  <c r="H60" i="3" s="1"/>
  <c r="H62" i="3" s="1" a="1"/>
  <c r="G60" i="3" a="1"/>
  <c r="G60" i="3" s="1"/>
  <c r="G134" i="3" a="1"/>
  <c r="G134" i="3" s="1"/>
  <c r="I134" i="3" s="1" a="1"/>
  <c r="I134" i="3" s="1"/>
  <c r="H134" i="3" a="1"/>
  <c r="H134" i="3" s="1"/>
  <c r="I146" i="3" a="1"/>
  <c r="I146" i="3" s="1"/>
  <c r="G146" i="3" a="1"/>
  <c r="G146" i="3" s="1"/>
  <c r="H146" i="3" a="1"/>
  <c r="H146" i="3" s="1"/>
  <c r="G67" i="3" a="1"/>
  <c r="G67" i="3" s="1"/>
  <c r="I67" i="3" a="1"/>
  <c r="I67" i="3" s="1"/>
  <c r="H67" i="3" a="1"/>
  <c r="H67" i="3" s="1"/>
  <c r="H133" i="3" a="1"/>
  <c r="H133" i="3" s="1"/>
  <c r="H135" i="3" s="1" a="1"/>
  <c r="H135" i="3" s="1"/>
  <c r="G133" i="3" a="1"/>
  <c r="G133" i="3" s="1"/>
  <c r="H145" i="3" a="1"/>
  <c r="H145" i="3" s="1"/>
  <c r="G145" i="3" a="1"/>
  <c r="G145" i="3" s="1"/>
  <c r="I145" i="3" a="1"/>
  <c r="I145" i="3" s="1"/>
  <c r="G55" i="3" a="1"/>
  <c r="G55" i="3" s="1"/>
  <c r="H55" i="3" a="1"/>
  <c r="H55" i="3" s="1"/>
  <c r="G54" i="3" a="1"/>
  <c r="G54" i="3" s="1"/>
  <c r="H54" i="3" a="1"/>
  <c r="H54" i="3" s="1"/>
  <c r="I66" i="3" a="1"/>
  <c r="I66" i="3" s="1"/>
  <c r="H66" i="3" a="1"/>
  <c r="H66" i="3" s="1"/>
  <c r="G66" i="3" a="1"/>
  <c r="G66" i="3" s="1"/>
  <c r="H140" i="3" a="1"/>
  <c r="H140" i="3" s="1"/>
  <c r="G140" i="3" a="1"/>
  <c r="G140" i="3" s="1"/>
  <c r="I140" i="3" s="1" a="1"/>
  <c r="I140" i="3" s="1"/>
  <c r="F109" i="3" l="1"/>
  <c r="G113" i="3" s="1"/>
  <c r="H62" i="3"/>
  <c r="L57" i="3"/>
  <c r="H56" i="3" a="1"/>
  <c r="H56" i="3" s="1"/>
  <c r="I55" i="3" a="1"/>
  <c r="I55" i="3" s="1"/>
  <c r="G56" i="3" a="1"/>
  <c r="G56" i="3" s="1"/>
  <c r="I54" i="3" a="1"/>
  <c r="I54" i="3" s="1"/>
  <c r="I56" i="3" s="1" a="1"/>
  <c r="I56" i="3" s="1"/>
  <c r="M58" i="3" s="1"/>
  <c r="G52" i="3"/>
  <c r="G62" i="3" a="1"/>
  <c r="G62" i="3" s="1"/>
  <c r="I60" i="3" a="1"/>
  <c r="I60" i="3" s="1"/>
  <c r="I61" i="3" a="1"/>
  <c r="I61" i="3" s="1"/>
  <c r="L136" i="3"/>
  <c r="G141" i="3" a="1"/>
  <c r="G141" i="3" s="1"/>
  <c r="I139" i="3" a="1"/>
  <c r="I139" i="3" s="1"/>
  <c r="H141" i="3" a="1"/>
  <c r="H141" i="3" s="1"/>
  <c r="G131" i="3"/>
  <c r="I133" i="3" a="1"/>
  <c r="I133" i="3" s="1"/>
  <c r="I135" i="3" s="1" a="1"/>
  <c r="I135" i="3" s="1"/>
  <c r="M137" i="3" s="1"/>
  <c r="G135" i="3" a="1"/>
  <c r="G135" i="3" s="1"/>
  <c r="H108" i="3" l="1" a="1"/>
  <c r="G108" i="3" a="1"/>
  <c r="M55" i="3"/>
  <c r="L55" i="3"/>
  <c r="L58" i="3"/>
  <c r="H108" i="3"/>
  <c r="H109" i="3"/>
  <c r="L137" i="3"/>
  <c r="L133" i="3"/>
  <c r="I141" i="3" a="1"/>
  <c r="I141" i="3" s="1"/>
  <c r="M133" i="3"/>
  <c r="M134" i="3"/>
  <c r="M135" i="3" s="1"/>
  <c r="M136" i="3" s="1"/>
  <c r="N136" i="3" s="1"/>
  <c r="L134" i="3"/>
  <c r="M54" i="3"/>
  <c r="L54" i="3"/>
  <c r="I62" i="3" a="1"/>
  <c r="I62" i="3" s="1"/>
  <c r="N134" i="3" l="1"/>
  <c r="O134" i="3" s="1"/>
  <c r="P134" i="3" s="1"/>
  <c r="Q134" i="3"/>
  <c r="H110" i="3"/>
  <c r="I110" i="3" s="1"/>
  <c r="I113" i="3"/>
  <c r="L56" i="3"/>
  <c r="Q55" i="3"/>
  <c r="N55" i="3"/>
  <c r="N54" i="3"/>
  <c r="Q54" i="3"/>
  <c r="Q133" i="3"/>
  <c r="N133" i="3"/>
  <c r="O133" i="3" s="1"/>
  <c r="P133" i="3" s="1"/>
  <c r="M56" i="3"/>
  <c r="M57" i="3" s="1"/>
  <c r="N57" i="3" s="1"/>
  <c r="L135" i="3"/>
  <c r="G108" i="3"/>
  <c r="G109" i="3"/>
  <c r="J110" i="3"/>
  <c r="K113" i="3" l="1"/>
  <c r="O55" i="3"/>
  <c r="P55" i="3" s="1"/>
  <c r="H113" i="3"/>
  <c r="Q135" i="3"/>
  <c r="N135" i="3"/>
  <c r="O135" i="3" s="1"/>
  <c r="P135" i="3" s="1"/>
  <c r="Q56" i="3"/>
  <c r="N56" i="3"/>
  <c r="O56" i="3" s="1"/>
  <c r="P56" i="3" s="1"/>
  <c r="O54" i="3"/>
  <c r="P54" i="3" s="1"/>
  <c r="J113" i="3" l="1"/>
  <c r="O113" i="3"/>
  <c r="M113" i="3"/>
  <c r="L113" i="3"/>
  <c r="N113" i="3"/>
</calcChain>
</file>

<file path=xl/sharedStrings.xml><?xml version="1.0" encoding="utf-8"?>
<sst xmlns="http://schemas.openxmlformats.org/spreadsheetml/2006/main" count="1085" uniqueCount="167">
  <si>
    <t xml:space="preserve">PRUEBA </t>
  </si>
  <si>
    <t>OBEJTIVO</t>
  </si>
  <si>
    <t>ANALISI EXPLORATORIO DE DATOS</t>
  </si>
  <si>
    <t>DESCRIBIR LA MUESTRA</t>
  </si>
  <si>
    <t>n</t>
  </si>
  <si>
    <t>Mean</t>
  </si>
  <si>
    <t>Standard Error</t>
  </si>
  <si>
    <t>Median</t>
  </si>
  <si>
    <t>Maximum</t>
  </si>
  <si>
    <t>Minimum</t>
  </si>
  <si>
    <t>IQR</t>
  </si>
  <si>
    <t>SW p-value</t>
  </si>
  <si>
    <t>Two Factor Anova</t>
  </si>
  <si>
    <t>PUNTAJE</t>
  </si>
  <si>
    <t>McNemar Test p-value</t>
  </si>
  <si>
    <t>frecuencia</t>
  </si>
  <si>
    <t>Cochran's Q Test</t>
  </si>
  <si>
    <t>ANOVAV II</t>
  </si>
  <si>
    <t>Determinra la difrenacia antes y despues entre sexo por lon. Frng. Sup e infe</t>
  </si>
  <si>
    <t>LONGITUD FARINGEA SUPERIOR</t>
  </si>
  <si>
    <t>ANTES</t>
  </si>
  <si>
    <t>ANOVA II</t>
  </si>
  <si>
    <t>MEAN</t>
  </si>
  <si>
    <t>p-value</t>
  </si>
  <si>
    <t>DEPUÉS</t>
  </si>
  <si>
    <t>%</t>
  </si>
  <si>
    <t>McNemar</t>
  </si>
  <si>
    <t>Determinar cambios en puntaje de suelño</t>
  </si>
  <si>
    <t>DESPUÉS</t>
  </si>
  <si>
    <t>SEXO</t>
  </si>
  <si>
    <t>F</t>
  </si>
  <si>
    <t>Alpha</t>
  </si>
  <si>
    <t>r v4.2 2024</t>
  </si>
  <si>
    <t>LONGITUD FARINGEA INFERIOR</t>
  </si>
  <si>
    <t xml:space="preserve">ANTES </t>
  </si>
  <si>
    <t>M</t>
  </si>
  <si>
    <t>PERIODO</t>
  </si>
  <si>
    <t>Q-stat</t>
  </si>
  <si>
    <t>PSQ (21 preguntas)</t>
  </si>
  <si>
    <t>df</t>
  </si>
  <si>
    <t>N/A</t>
  </si>
  <si>
    <t>sig</t>
  </si>
  <si>
    <t>Group percentages</t>
  </si>
  <si>
    <r>
      <rPr>
        <b/>
        <sz val="10"/>
        <color rgb="FF000000"/>
        <rFont val="Arial"/>
        <family val="2"/>
      </rPr>
      <t xml:space="preserve">OBJETIVOS ESPECIFICOS:  </t>
    </r>
    <r>
      <rPr>
        <sz val="10"/>
        <color rgb="FF000000"/>
        <rFont val="Arial"/>
        <family val="2"/>
      </rPr>
      <t xml:space="preserve">                                                                                                                                                                                 1. Evaluar las diferencias en los efectos del tratamiento entre niños y niñas
2. Determinar el restablecimiento de la permeabilidad nasal a través de la medición de vías faríngeas de McNamara
3. Evaluar el trastorno respiratorio del sueño por medio del PSQ de Chervin.</t>
    </r>
  </si>
  <si>
    <t>MEDIDAS DE PERMEABILIDAD (mm)</t>
  </si>
  <si>
    <t>IDENTIFICACIÓN</t>
  </si>
  <si>
    <t>GÉNERO</t>
  </si>
  <si>
    <t>Descriptive Statistics</t>
  </si>
  <si>
    <t>Shapiro-Wilk Test</t>
  </si>
  <si>
    <t>W-stat</t>
  </si>
  <si>
    <t>alpha</t>
  </si>
  <si>
    <t>Mode</t>
  </si>
  <si>
    <t>normal</t>
  </si>
  <si>
    <t>Standard Deviation</t>
  </si>
  <si>
    <t>Sample Variance</t>
  </si>
  <si>
    <t>d'Agostino-Pearson</t>
  </si>
  <si>
    <t>Kurtosis</t>
  </si>
  <si>
    <t>Skewness</t>
  </si>
  <si>
    <t>DA-stat</t>
  </si>
  <si>
    <t>Range</t>
  </si>
  <si>
    <t>Sum</t>
  </si>
  <si>
    <t>Count</t>
  </si>
  <si>
    <t>Geometric Mean</t>
  </si>
  <si>
    <t>Harmonic Mean</t>
  </si>
  <si>
    <t>AAD</t>
  </si>
  <si>
    <t>MAD</t>
  </si>
  <si>
    <t>CUESTIONARIO PSQ</t>
  </si>
  <si>
    <t>0= NEGATIVO</t>
  </si>
  <si>
    <t>1= POSITIVO</t>
  </si>
  <si>
    <t>MEDIDA</t>
  </si>
  <si>
    <t>Input in Excel Anova format</t>
  </si>
  <si>
    <t>COUNT</t>
  </si>
  <si>
    <t>ANOVA</t>
  </si>
  <si>
    <t>SS</t>
  </si>
  <si>
    <t>MS</t>
  </si>
  <si>
    <t>p eta-sq</t>
  </si>
  <si>
    <t>Rows</t>
  </si>
  <si>
    <t>Columns</t>
  </si>
  <si>
    <t>Inter</t>
  </si>
  <si>
    <t>Within</t>
  </si>
  <si>
    <t>Total</t>
  </si>
  <si>
    <t>VARIANCE</t>
  </si>
  <si>
    <t>TUKEY HSD; COLUMN EFFECT</t>
  </si>
  <si>
    <t>group</t>
  </si>
  <si>
    <t>mean</t>
  </si>
  <si>
    <t>size</t>
  </si>
  <si>
    <t>q-crit</t>
  </si>
  <si>
    <t>Q TEST</t>
  </si>
  <si>
    <t>group 1</t>
  </si>
  <si>
    <t>group 2</t>
  </si>
  <si>
    <t>std err</t>
  </si>
  <si>
    <t>q-stat</t>
  </si>
  <si>
    <t>mean-crit</t>
  </si>
  <si>
    <t>lower</t>
  </si>
  <si>
    <t>upper</t>
  </si>
  <si>
    <t>Cohen d</t>
  </si>
  <si>
    <t>MEDIDAD</t>
  </si>
  <si>
    <t>T Test: Two Paired Samples</t>
  </si>
  <si>
    <t>Wilcoxon Signed-Rank Test for Paired Samples</t>
  </si>
  <si>
    <t>SUMMARY</t>
  </si>
  <si>
    <t>Hyp Mean Diff</t>
  </si>
  <si>
    <t>Groups</t>
  </si>
  <si>
    <t>Std Dev</t>
  </si>
  <si>
    <t>Std Err</t>
  </si>
  <si>
    <t>t</t>
  </si>
  <si>
    <t>Effect r</t>
  </si>
  <si>
    <t>median</t>
  </si>
  <si>
    <t>count</t>
  </si>
  <si>
    <t>Difference</t>
  </si>
  <si>
    <t># unequal</t>
  </si>
  <si>
    <t>T+</t>
  </si>
  <si>
    <t>T TEST</t>
  </si>
  <si>
    <t>T-</t>
  </si>
  <si>
    <t xml:space="preserve"> </t>
  </si>
  <si>
    <t>t-crit</t>
  </si>
  <si>
    <t>T</t>
  </si>
  <si>
    <t>One Tail</t>
  </si>
  <si>
    <t>Two Tail</t>
  </si>
  <si>
    <t>one tail</t>
  </si>
  <si>
    <t>two tail</t>
  </si>
  <si>
    <t>std dev</t>
  </si>
  <si>
    <t>ties</t>
  </si>
  <si>
    <t>z-score</t>
  </si>
  <si>
    <t>yates</t>
  </si>
  <si>
    <t>effect r</t>
  </si>
  <si>
    <t>p-norm</t>
  </si>
  <si>
    <t>p-exact</t>
  </si>
  <si>
    <t>p-simul</t>
  </si>
  <si>
    <t>DESPUES</t>
  </si>
  <si>
    <t>Cuenta de DESPUES</t>
  </si>
  <si>
    <t>Etiquetas de columna</t>
  </si>
  <si>
    <t>Etiquetas de fila</t>
  </si>
  <si>
    <t>Total general</t>
  </si>
  <si>
    <t>FRECUENCIA</t>
  </si>
  <si>
    <t>total</t>
  </si>
  <si>
    <r>
      <rPr>
        <b/>
        <sz val="10"/>
        <color rgb="FF000000"/>
        <rFont val="Arial"/>
        <family val="2"/>
      </rPr>
      <t>OBJETIVO GENERAL:</t>
    </r>
    <r>
      <rPr>
        <sz val="10"/>
        <color rgb="FF000000"/>
        <rFont val="Arial"/>
        <family val="2"/>
      </rPr>
      <t xml:space="preserve"> Determinar los efectos de la expansión rápida de la sutura media palatina con el aparato de mc namara modificado combinado con terapia mío funcional en el tratamiento de niños con trastornos respiratorios</t>
    </r>
  </si>
  <si>
    <r>
      <rPr>
        <b/>
        <sz val="10"/>
        <color rgb="FF000000"/>
        <rFont val="Arial"/>
        <family val="2"/>
      </rPr>
      <t xml:space="preserve">OBJETIVOS ESPECIFICOS:  </t>
    </r>
    <r>
      <rPr>
        <sz val="10"/>
        <color rgb="FF000000"/>
        <rFont val="Arial"/>
        <family val="2"/>
      </rPr>
      <t xml:space="preserve">                                                                                                                                                                                 1. Evaluar las diferencias en los efectos del tratamiento entre niños y niñas
2. Determinar el restablecimiento de la permeabilidad nasal a través de la medición de vías faríngeas de McNamara
3. Evaluar el trastorno respiratorio del sueño por medio del PSQ de Chervin.</t>
    </r>
  </si>
  <si>
    <t>12,6</t>
  </si>
  <si>
    <t>13,8</t>
  </si>
  <si>
    <t>10,6</t>
  </si>
  <si>
    <t>18-21</t>
  </si>
  <si>
    <t>1-21</t>
  </si>
  <si>
    <t>16-21</t>
  </si>
  <si>
    <t>0-21</t>
  </si>
  <si>
    <t>7,3</t>
  </si>
  <si>
    <t>21-21</t>
  </si>
  <si>
    <t>19-21</t>
  </si>
  <si>
    <t>2-21</t>
  </si>
  <si>
    <t>13-21</t>
  </si>
  <si>
    <t>14-21</t>
  </si>
  <si>
    <t>12-21</t>
  </si>
  <si>
    <t>5-21</t>
  </si>
  <si>
    <t>4-21</t>
  </si>
  <si>
    <t>20-21</t>
  </si>
  <si>
    <t>9-21</t>
  </si>
  <si>
    <t>8-21</t>
  </si>
  <si>
    <t>6-21</t>
  </si>
  <si>
    <t>3-21</t>
  </si>
  <si>
    <t>15-21</t>
  </si>
  <si>
    <t>10-21</t>
  </si>
  <si>
    <t>1</t>
  </si>
  <si>
    <t>0</t>
  </si>
  <si>
    <t>2</t>
  </si>
  <si>
    <t>12</t>
  </si>
  <si>
    <t>16.6</t>
  </si>
  <si>
    <t>14.5</t>
  </si>
  <si>
    <t>PSQ</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</si>
</sst>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3" formatCode="_-* #,##0.00_-;\-* #,##0.00_-;_-* &quot;-&quot;??_-;_-@_-"/>
    <numFmt numFmtId="164" formatCode="_-* #,##0.000_-;\-* #,##0.000_-;_-* &quot;-&quot;??_-;_-@_-"/>
    <numFmt numFmtId="165" formatCode="0.0000"/>
    <numFmt numFmtId="166" formatCode="0.000"/>
    <numFmt numFmtId="167" formatCode="0.0"/>
    <numFmt numFmtId="168" formatCode="0.0%"/>
  </numFmts>
  <fonts count="11" x14ac:knownFonts="1">
    <font>
      <sz val="11"/>
      <color theme="1"/>
      <name val="Aptos Narrow"/>
      <family val="2"/>
      <scheme val="minor"/>
    </font>
    <font>
      <b/>
      <sz val="11"/>
      <color theme="1"/>
      <name val="Aptos Narrow"/>
      <family val="2"/>
      <scheme val="minor"/>
    </font>
    <font>
      <sz val="14"/>
      <color rgb="FF000000"/>
      <name val="Times New Roman"/>
      <family val="1"/>
    </font>
    <font>
      <sz val="10"/>
      <color rgb="FF000000"/>
      <name val="Arial"/>
      <family val="2"/>
    </font>
    <font>
      <b/>
      <sz val="10"/>
      <color rgb="FF000000"/>
      <name val="Arial"/>
      <family val="2"/>
    </font>
    <font>
      <b/>
      <sz val="10"/>
      <color theme="1"/>
      <name val="Aptos Narrow"/>
      <family val="2"/>
      <scheme val="minor"/>
    </font>
    <font>
      <sz val="11"/>
      <color theme="1"/>
      <name val="Aptos Narrow"/>
      <family val="2"/>
      <scheme val="minor"/>
    </font>
    <font>
      <sz val="11"/>
      <color rgb="FFFF0000"/>
      <name val="Aptos Narrow"/>
      <family val="2"/>
      <scheme val="minor"/>
    </font>
    <font>
      <i/>
      <sz val="11"/>
      <color theme="1"/>
      <name val="Aptos Narrow"/>
      <family val="2"/>
      <scheme val="minor"/>
    </font>
    <font>
      <sz val="10"/>
      <color rgb="FF000000"/>
      <name val="Arial"/>
      <family val="2"/>
    </font>
    <font>
      <sz val="11"/>
      <name val="Aptos Narrow"/>
      <family val="2"/>
      <scheme val="minor"/>
    </font>
  </fonts>
  <fills count="12">
    <fill>
      <patternFill patternType="none"/>
    </fill>
    <fill>
      <patternFill patternType="gray125"/>
    </fill>
    <fill>
      <patternFill patternType="solid">
        <fgColor theme="5" tint="0.79998168889431442"/>
        <bgColor indexed="64"/>
      </patternFill>
    </fill>
    <fill>
      <patternFill patternType="solid">
        <fgColor theme="9" tint="0.79998168889431442"/>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3" tint="0.749992370372631"/>
        <bgColor indexed="64"/>
      </patternFill>
    </fill>
    <fill>
      <patternFill patternType="solid">
        <fgColor rgb="FFFFFF00"/>
        <bgColor indexed="64"/>
      </patternFill>
    </fill>
    <fill>
      <patternFill patternType="solid">
        <fgColor theme="7" tint="0.59999389629810485"/>
        <bgColor indexed="64"/>
      </patternFill>
    </fill>
    <fill>
      <patternFill patternType="solid">
        <fgColor theme="3" tint="0.89999084444715716"/>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top/>
      <bottom style="thin">
        <color indexed="8"/>
      </bottom>
      <diagonal/>
    </border>
    <border>
      <left/>
      <right style="thin">
        <color indexed="8"/>
      </right>
      <top/>
      <bottom style="thin">
        <color indexed="8"/>
      </bottom>
      <diagonal/>
    </border>
    <border>
      <left/>
      <right/>
      <top style="double">
        <color indexed="64"/>
      </top>
      <bottom style="thin">
        <color indexed="64"/>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style="thin">
        <color indexed="8"/>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3">
    <xf numFmtId="0" fontId="0" fillId="0" borderId="0"/>
    <xf numFmtId="43" fontId="6" fillId="0" borderId="0" applyFont="0" applyFill="0" applyBorder="0" applyAlignment="0" applyProtection="0"/>
    <xf numFmtId="9" fontId="6" fillId="0" borderId="0" applyFont="0" applyFill="0" applyBorder="0" applyAlignment="0" applyProtection="0"/>
  </cellStyleXfs>
  <cellXfs count="123">
    <xf numFmtId="0" fontId="0" fillId="0" borderId="0" xfId="0"/>
    <xf numFmtId="0" fontId="2" fillId="0" borderId="0" xfId="0" applyFont="1" applyAlignment="1">
      <alignment horizontal="left" wrapText="1"/>
    </xf>
    <xf numFmtId="0" fontId="1" fillId="0" borderId="1" xfId="0" applyFont="1" applyBorder="1"/>
    <xf numFmtId="0" fontId="0" fillId="2" borderId="1" xfId="0" applyFill="1" applyBorder="1"/>
    <xf numFmtId="0" fontId="0" fillId="2" borderId="1" xfId="0" applyFill="1" applyBorder="1" applyAlignment="1">
      <alignment horizontal="right"/>
    </xf>
    <xf numFmtId="0" fontId="0" fillId="3" borderId="1" xfId="0" applyFill="1" applyBorder="1"/>
    <xf numFmtId="0" fontId="0" fillId="0" borderId="1" xfId="0" applyBorder="1" applyAlignment="1">
      <alignment horizontal="center"/>
    </xf>
    <xf numFmtId="0" fontId="1" fillId="4" borderId="1" xfId="0" applyFont="1" applyFill="1" applyBorder="1"/>
    <xf numFmtId="0" fontId="1" fillId="4" borderId="1" xfId="0" applyFont="1" applyFill="1" applyBorder="1" applyAlignment="1">
      <alignment horizontal="center"/>
    </xf>
    <xf numFmtId="0" fontId="1" fillId="5" borderId="1" xfId="0" applyFont="1" applyFill="1" applyBorder="1"/>
    <xf numFmtId="0" fontId="0" fillId="3" borderId="1" xfId="0" applyFill="1" applyBorder="1" applyAlignment="1">
      <alignment horizontal="right"/>
    </xf>
    <xf numFmtId="0" fontId="1" fillId="9" borderId="1" xfId="0" applyFont="1" applyFill="1" applyBorder="1"/>
    <xf numFmtId="17" fontId="0" fillId="2" borderId="1" xfId="0" applyNumberFormat="1" applyFill="1" applyBorder="1"/>
    <xf numFmtId="49" fontId="0" fillId="2" borderId="1" xfId="0" applyNumberFormat="1" applyFill="1" applyBorder="1"/>
    <xf numFmtId="49" fontId="0" fillId="3" borderId="1" xfId="0" applyNumberFormat="1" applyFill="1" applyBorder="1"/>
    <xf numFmtId="0" fontId="1" fillId="5" borderId="1" xfId="0" applyFont="1" applyFill="1" applyBorder="1" applyAlignment="1">
      <alignment horizontal="center"/>
    </xf>
    <xf numFmtId="0" fontId="1" fillId="9" borderId="1" xfId="0" applyFont="1" applyFill="1" applyBorder="1" applyAlignment="1">
      <alignment horizontal="center"/>
    </xf>
    <xf numFmtId="0" fontId="0" fillId="9" borderId="1" xfId="0" applyFill="1" applyBorder="1"/>
    <xf numFmtId="1" fontId="0" fillId="2" borderId="1" xfId="0" applyNumberFormat="1" applyFill="1" applyBorder="1"/>
    <xf numFmtId="0" fontId="0" fillId="0" borderId="5" xfId="0" applyBorder="1"/>
    <xf numFmtId="0" fontId="8" fillId="0" borderId="5" xfId="0" applyFont="1" applyBorder="1" applyAlignment="1">
      <alignment horizontal="center"/>
    </xf>
    <xf numFmtId="0" fontId="0" fillId="0" borderId="5" xfId="0" applyBorder="1" applyAlignment="1">
      <alignment horizontal="right"/>
    </xf>
    <xf numFmtId="0" fontId="0" fillId="0" borderId="6" xfId="0" applyBorder="1"/>
    <xf numFmtId="2" fontId="0" fillId="2" borderId="1" xfId="0" applyNumberFormat="1" applyFill="1" applyBorder="1" applyAlignment="1">
      <alignment horizontal="right"/>
    </xf>
    <xf numFmtId="2" fontId="0" fillId="2" borderId="1" xfId="0" applyNumberFormat="1" applyFill="1" applyBorder="1"/>
    <xf numFmtId="164" fontId="0" fillId="0" borderId="0" xfId="1" applyNumberFormat="1" applyFont="1"/>
    <xf numFmtId="165" fontId="0" fillId="0" borderId="0" xfId="0" applyNumberFormat="1"/>
    <xf numFmtId="2" fontId="0" fillId="0" borderId="0" xfId="0" applyNumberFormat="1"/>
    <xf numFmtId="167" fontId="0" fillId="0" borderId="0" xfId="0" applyNumberFormat="1"/>
    <xf numFmtId="0" fontId="5" fillId="8" borderId="1" xfId="0" applyFont="1" applyFill="1" applyBorder="1"/>
    <xf numFmtId="0" fontId="1" fillId="8" borderId="1" xfId="0" applyFont="1" applyFill="1" applyBorder="1"/>
    <xf numFmtId="0" fontId="0" fillId="0" borderId="8" xfId="0" applyBorder="1"/>
    <xf numFmtId="0" fontId="0" fillId="0" borderId="9" xfId="0" applyBorder="1"/>
    <xf numFmtId="0" fontId="0" fillId="0" borderId="10" xfId="0" applyBorder="1"/>
    <xf numFmtId="0" fontId="0" fillId="0" borderId="11" xfId="0" applyBorder="1"/>
    <xf numFmtId="0" fontId="0" fillId="0" borderId="0" xfId="0" applyAlignment="1">
      <alignment horizontal="center"/>
    </xf>
    <xf numFmtId="0" fontId="8" fillId="0" borderId="12" xfId="0" applyFont="1" applyBorder="1" applyAlignment="1">
      <alignment horizontal="center"/>
    </xf>
    <xf numFmtId="0" fontId="0" fillId="0" borderId="13" xfId="0" applyBorder="1"/>
    <xf numFmtId="0" fontId="0" fillId="0" borderId="14" xfId="0" applyBorder="1"/>
    <xf numFmtId="0" fontId="0" fillId="0" borderId="15" xfId="0" applyBorder="1"/>
    <xf numFmtId="0" fontId="0" fillId="0" borderId="3" xfId="0" applyBorder="1"/>
    <xf numFmtId="0" fontId="1" fillId="0" borderId="0" xfId="0" applyFont="1"/>
    <xf numFmtId="0" fontId="0" fillId="0" borderId="16" xfId="0" applyBorder="1"/>
    <xf numFmtId="0" fontId="0" fillId="0" borderId="17" xfId="0" applyBorder="1"/>
    <xf numFmtId="0" fontId="0" fillId="0" borderId="18" xfId="0" applyBorder="1"/>
    <xf numFmtId="0" fontId="0" fillId="0" borderId="0" xfId="0" pivotButton="1"/>
    <xf numFmtId="0" fontId="0" fillId="0" borderId="0" xfId="0" applyAlignment="1">
      <alignment horizontal="left"/>
    </xf>
    <xf numFmtId="0" fontId="0" fillId="0" borderId="7" xfId="0" applyBorder="1"/>
    <xf numFmtId="0" fontId="0" fillId="0" borderId="15" xfId="0" applyBorder="1" applyAlignment="1">
      <alignment horizontal="right"/>
    </xf>
    <xf numFmtId="0" fontId="0" fillId="11" borderId="1" xfId="0" applyFill="1" applyBorder="1"/>
    <xf numFmtId="0" fontId="8" fillId="11" borderId="1" xfId="0" applyFont="1" applyFill="1" applyBorder="1" applyAlignment="1">
      <alignment horizontal="center"/>
    </xf>
    <xf numFmtId="0" fontId="8" fillId="0" borderId="1" xfId="0" applyFont="1" applyBorder="1" applyAlignment="1">
      <alignment horizontal="center"/>
    </xf>
    <xf numFmtId="0" fontId="0" fillId="0" borderId="1" xfId="0" applyBorder="1"/>
    <xf numFmtId="2" fontId="0" fillId="0" borderId="1" xfId="0" applyNumberFormat="1" applyBorder="1"/>
    <xf numFmtId="164" fontId="0" fillId="0" borderId="1" xfId="1" applyNumberFormat="1" applyFont="1" applyFill="1" applyBorder="1"/>
    <xf numFmtId="164" fontId="7" fillId="0" borderId="1" xfId="1" applyNumberFormat="1" applyFont="1" applyFill="1" applyBorder="1"/>
    <xf numFmtId="167" fontId="0" fillId="0" borderId="1" xfId="0" applyNumberFormat="1" applyBorder="1"/>
    <xf numFmtId="168" fontId="0" fillId="0" borderId="1" xfId="2" applyNumberFormat="1" applyFont="1" applyBorder="1"/>
    <xf numFmtId="0" fontId="0" fillId="11" borderId="1" xfId="0" applyFill="1" applyBorder="1" applyAlignment="1">
      <alignment horizontal="center"/>
    </xf>
    <xf numFmtId="0" fontId="0" fillId="0" borderId="22" xfId="0" applyBorder="1"/>
    <xf numFmtId="168" fontId="0" fillId="0" borderId="22" xfId="2" applyNumberFormat="1" applyFont="1" applyBorder="1"/>
    <xf numFmtId="164" fontId="7" fillId="0" borderId="19" xfId="1" applyNumberFormat="1" applyFont="1" applyBorder="1"/>
    <xf numFmtId="0" fontId="0" fillId="0" borderId="20" xfId="0" applyBorder="1"/>
    <xf numFmtId="0" fontId="0" fillId="11" borderId="0" xfId="0" applyFill="1"/>
    <xf numFmtId="166" fontId="0" fillId="0" borderId="0" xfId="0" applyNumberFormat="1" applyAlignment="1">
      <alignment horizontal="center" vertical="center" wrapText="1"/>
    </xf>
    <xf numFmtId="166" fontId="7" fillId="0" borderId="0" xfId="0" applyNumberFormat="1" applyFont="1" applyAlignment="1">
      <alignment horizontal="center" vertical="center" wrapText="1"/>
    </xf>
    <xf numFmtId="0" fontId="0" fillId="0" borderId="24" xfId="0" applyBorder="1" applyAlignment="1">
      <alignment horizontal="center"/>
    </xf>
    <xf numFmtId="0" fontId="0" fillId="2" borderId="24" xfId="0" applyFill="1" applyBorder="1"/>
    <xf numFmtId="0" fontId="0" fillId="0" borderId="21" xfId="0" applyBorder="1" applyAlignment="1">
      <alignment horizontal="center"/>
    </xf>
    <xf numFmtId="0" fontId="0" fillId="2" borderId="21" xfId="0" applyFill="1" applyBorder="1" applyAlignment="1">
      <alignment horizontal="right"/>
    </xf>
    <xf numFmtId="0" fontId="0" fillId="3" borderId="21" xfId="0" applyFill="1" applyBorder="1"/>
    <xf numFmtId="0" fontId="0" fillId="2" borderId="21" xfId="0" applyFill="1" applyBorder="1"/>
    <xf numFmtId="49" fontId="0" fillId="3" borderId="21" xfId="0" applyNumberFormat="1" applyFill="1" applyBorder="1"/>
    <xf numFmtId="0" fontId="0" fillId="0" borderId="25" xfId="0" applyBorder="1" applyAlignment="1">
      <alignment horizontal="center"/>
    </xf>
    <xf numFmtId="0" fontId="0" fillId="3" borderId="24" xfId="0" applyFill="1" applyBorder="1"/>
    <xf numFmtId="0" fontId="0" fillId="3" borderId="25" xfId="0" applyFill="1" applyBorder="1"/>
    <xf numFmtId="0" fontId="0" fillId="2" borderId="25" xfId="0" applyFill="1" applyBorder="1"/>
    <xf numFmtId="164" fontId="10" fillId="0" borderId="1" xfId="1" applyNumberFormat="1" applyFont="1" applyFill="1" applyBorder="1"/>
    <xf numFmtId="49" fontId="0" fillId="3" borderId="1" xfId="0" applyNumberFormat="1" applyFill="1" applyBorder="1" applyAlignment="1">
      <alignment horizontal="right"/>
    </xf>
    <xf numFmtId="1" fontId="0" fillId="2" borderId="1" xfId="0" applyNumberFormat="1" applyFill="1" applyBorder="1" applyAlignment="1">
      <alignment horizontal="right"/>
    </xf>
    <xf numFmtId="49" fontId="0" fillId="2" borderId="1" xfId="0" applyNumberFormat="1" applyFill="1" applyBorder="1" applyAlignment="1">
      <alignment horizontal="right"/>
    </xf>
    <xf numFmtId="49" fontId="0" fillId="3" borderId="21" xfId="0" applyNumberFormat="1" applyFill="1" applyBorder="1" applyAlignment="1">
      <alignment horizontal="right"/>
    </xf>
    <xf numFmtId="0" fontId="0" fillId="2" borderId="24" xfId="0" applyFill="1" applyBorder="1" applyAlignment="1">
      <alignment horizontal="right"/>
    </xf>
    <xf numFmtId="0" fontId="0" fillId="3" borderId="24" xfId="0" applyFill="1" applyBorder="1" applyAlignment="1">
      <alignment horizontal="right"/>
    </xf>
    <xf numFmtId="0" fontId="0" fillId="2" borderId="25" xfId="0" applyFill="1" applyBorder="1" applyAlignment="1">
      <alignment horizontal="right"/>
    </xf>
    <xf numFmtId="0" fontId="0" fillId="3" borderId="25" xfId="0" applyFill="1" applyBorder="1" applyAlignment="1">
      <alignment horizontal="right"/>
    </xf>
    <xf numFmtId="0" fontId="1" fillId="0" borderId="0" xfId="0" applyFont="1" applyAlignment="1">
      <alignment vertical="center" wrapText="1"/>
    </xf>
    <xf numFmtId="0" fontId="8" fillId="0" borderId="0" xfId="0" applyFont="1" applyAlignment="1">
      <alignment horizontal="center"/>
    </xf>
    <xf numFmtId="164" fontId="7" fillId="0" borderId="0" xfId="1" applyNumberFormat="1" applyFont="1" applyFill="1" applyBorder="1"/>
    <xf numFmtId="164" fontId="7" fillId="0" borderId="1" xfId="1" applyNumberFormat="1" applyFont="1" applyFill="1" applyBorder="1" applyAlignment="1">
      <alignment horizontal="right"/>
    </xf>
    <xf numFmtId="0" fontId="5" fillId="8" borderId="1" xfId="0" applyFont="1" applyFill="1" applyBorder="1" applyAlignment="1">
      <alignment horizontal="center"/>
    </xf>
    <xf numFmtId="0" fontId="1" fillId="8" borderId="1" xfId="0" applyFont="1" applyFill="1" applyBorder="1" applyAlignment="1">
      <alignment horizontal="center"/>
    </xf>
    <xf numFmtId="0" fontId="5" fillId="7" borderId="1" xfId="0" applyFont="1" applyFill="1" applyBorder="1" applyAlignment="1">
      <alignment horizontal="center"/>
    </xf>
    <xf numFmtId="0" fontId="3" fillId="0" borderId="0" xfId="0" applyFont="1" applyAlignment="1">
      <alignment horizontal="left" wrapText="1"/>
    </xf>
    <xf numFmtId="0" fontId="3" fillId="0" borderId="0" xfId="0" applyFont="1" applyAlignment="1">
      <alignment horizontal="left" vertical="center" wrapText="1"/>
    </xf>
    <xf numFmtId="0" fontId="2" fillId="0" borderId="0" xfId="0" applyFont="1" applyAlignment="1">
      <alignment horizontal="left" vertical="center" wrapText="1"/>
    </xf>
    <xf numFmtId="0" fontId="1" fillId="6" borderId="1" xfId="0" applyFont="1" applyFill="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1" fillId="10" borderId="1" xfId="0" applyFont="1" applyFill="1" applyBorder="1" applyAlignment="1">
      <alignment horizontal="center"/>
    </xf>
    <xf numFmtId="0" fontId="0" fillId="11" borderId="1" xfId="0" applyFill="1" applyBorder="1" applyAlignment="1">
      <alignment horizontal="center" wrapText="1"/>
    </xf>
    <xf numFmtId="0" fontId="0" fillId="11" borderId="1" xfId="0" applyFill="1" applyBorder="1" applyAlignment="1">
      <alignment horizontal="center"/>
    </xf>
    <xf numFmtId="166" fontId="0" fillId="0" borderId="21" xfId="0" applyNumberFormat="1" applyBorder="1" applyAlignment="1">
      <alignment horizontal="center" vertical="center" wrapText="1"/>
    </xf>
    <xf numFmtId="166" fontId="0" fillId="0" borderId="22" xfId="0" applyNumberFormat="1" applyBorder="1" applyAlignment="1">
      <alignment horizontal="center" vertical="center" wrapText="1"/>
    </xf>
    <xf numFmtId="166" fontId="7" fillId="0" borderId="21" xfId="0" applyNumberFormat="1" applyFont="1" applyBorder="1" applyAlignment="1">
      <alignment horizontal="center" vertical="center" wrapText="1"/>
    </xf>
    <xf numFmtId="166" fontId="7" fillId="0" borderId="22" xfId="0" applyNumberFormat="1" applyFont="1" applyBorder="1" applyAlignment="1">
      <alignment horizontal="center" vertical="center" wrapText="1"/>
    </xf>
    <xf numFmtId="0" fontId="0" fillId="0" borderId="21" xfId="0" applyBorder="1" applyAlignment="1">
      <alignment horizontal="center" vertical="center" wrapText="1"/>
    </xf>
    <xf numFmtId="0" fontId="0" fillId="0" borderId="23" xfId="0" applyBorder="1" applyAlignment="1">
      <alignment horizontal="center" vertical="center" wrapText="1"/>
    </xf>
    <xf numFmtId="0" fontId="0" fillId="0" borderId="22" xfId="0" applyBorder="1" applyAlignment="1">
      <alignment horizontal="center" vertical="center" wrapText="1"/>
    </xf>
    <xf numFmtId="0" fontId="5" fillId="0" borderId="1" xfId="0" applyFont="1" applyBorder="1" applyAlignment="1">
      <alignment horizontal="center" wrapText="1"/>
    </xf>
    <xf numFmtId="0" fontId="1" fillId="0" borderId="1" xfId="0" applyFont="1" applyBorder="1" applyAlignment="1">
      <alignment horizont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center" vertical="center" wrapText="1"/>
    </xf>
    <xf numFmtId="0" fontId="9" fillId="0" borderId="0" xfId="0" applyFont="1" applyAlignment="1">
      <alignment horizontal="left" vertical="center" wrapText="1"/>
    </xf>
    <xf numFmtId="0" fontId="0" fillId="0" borderId="0" xfId="0" applyAlignment="1">
      <alignment horizontal="center"/>
    </xf>
    <xf numFmtId="0" fontId="0" fillId="0" borderId="0" xfId="0" applyAlignment="1">
      <alignment horizontal="center" vertical="center" wrapText="1"/>
    </xf>
    <xf numFmtId="0" fontId="0" fillId="0" borderId="0" xfId="0" applyAlignment="1">
      <alignment horizontal="center" wrapText="1"/>
    </xf>
    <xf numFmtId="0" fontId="5" fillId="8" borderId="1" xfId="0" applyFont="1" applyFill="1" applyBorder="1" applyAlignment="1">
      <alignment horizontal="center" wrapText="1"/>
    </xf>
    <xf numFmtId="0" fontId="1" fillId="8" borderId="1" xfId="0" applyFont="1" applyFill="1" applyBorder="1" applyAlignment="1">
      <alignment horizontal="center" wrapText="1"/>
    </xf>
    <xf numFmtId="0" fontId="5" fillId="7" borderId="1" xfId="0" applyFont="1" applyFill="1" applyBorder="1" applyAlignment="1">
      <alignment horizontal="center" wrapText="1"/>
    </xf>
    <xf numFmtId="0" fontId="1" fillId="10" borderId="1" xfId="0" applyFont="1" applyFill="1" applyBorder="1" applyAlignment="1">
      <alignment horizontal="center" vertical="center" wrapText="1"/>
    </xf>
  </cellXfs>
  <cellStyles count="3">
    <cellStyle name="Millares" xfId="1" builtinId="3"/>
    <cellStyle name="Normal" xfId="0" builtinId="0"/>
    <cellStyle name="Porcentaje" xfId="2" builtinId="5"/>
  </cellStyles>
  <dxfs count="0"/>
  <tableStyles count="1" defaultTableStyle="TableStyleMedium2" defaultPivotStyle="PivotStyleLight16">
    <tableStyle name="Invisible" pivot="0" table="0" count="0" xr9:uid="{2986CCF5-2608-4D21-91EC-E57CD9D20AFD}"/>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_rels/chartEx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Ex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Ex1.xml><?xml version="1.0" encoding="utf-8"?>
<cx:chartSpace xmlns:a="http://schemas.openxmlformats.org/drawingml/2006/main" xmlns:r="http://schemas.openxmlformats.org/officeDocument/2006/relationships" xmlns:cx="http://schemas.microsoft.com/office/drawing/2014/chartex">
  <cx:chartData>
    <cx:data id="0">
      <cx:numDim type="val">
        <cx:f>_xlchart.v1.5</cx:f>
      </cx:numDim>
    </cx:data>
    <cx:data id="1">
      <cx:numDim type="val">
        <cx:f>_xlchart.v1.7</cx:f>
      </cx:numDim>
    </cx:data>
  </cx:chartData>
  <cx:chart>
    <cx:title pos="t" align="ctr" overlay="0">
      <cx:tx>
        <cx:txData>
          <cx:v>LONGITUD FARINGEA SUPERIOR</cx:v>
        </cx:txData>
      </cx:tx>
      <cx:txPr>
        <a:bodyPr spcFirstLastPara="1" vertOverflow="ellipsis" horzOverflow="overflow" wrap="square" lIns="0" tIns="0" rIns="0" bIns="0" anchor="ctr" anchorCtr="1"/>
        <a:lstStyle/>
        <a:p>
          <a:pPr algn="ctr" rtl="0">
            <a:defRPr/>
          </a:pPr>
          <a:r>
            <a:rPr lang="es-ES" sz="1400" b="0" i="0" u="none" strike="noStrike" baseline="0">
              <a:solidFill>
                <a:sysClr val="windowText" lastClr="000000">
                  <a:lumMod val="65000"/>
                  <a:lumOff val="35000"/>
                </a:sysClr>
              </a:solidFill>
              <a:latin typeface="Aptos Narrow" panose="02110004020202020204"/>
            </a:rPr>
            <a:t>LONGITUD FARINGEA SUPERIOR</a:t>
          </a:r>
        </a:p>
      </cx:txPr>
    </cx:title>
    <cx:plotArea>
      <cx:plotAreaRegion>
        <cx:series layoutId="boxWhisker" uniqueId="{C47B2D27-4C6E-4AAD-8E19-62F799DD5CC6}">
          <cx:tx>
            <cx:txData>
              <cx:f>_xlchart.v1.4</cx:f>
              <cx:v>ANTES</cx:v>
            </cx:txData>
          </cx:tx>
          <cx:dataId val="0"/>
          <cx:layoutPr>
            <cx:visibility meanLine="0" meanMarker="1" nonoutliers="0" outliers="1"/>
            <cx:statistics quartileMethod="exclusive"/>
          </cx:layoutPr>
        </cx:series>
        <cx:series layoutId="boxWhisker" uniqueId="{764AA0A0-E790-4417-8FCA-F14312F0F8F5}">
          <cx:tx>
            <cx:txData>
              <cx:f>_xlchart.v1.6</cx:f>
              <cx:v>DESPUÉS</cx:v>
            </cx:txData>
          </cx:tx>
          <cx:dataId val="1"/>
          <cx:layoutPr>
            <cx:visibility meanLine="0" meanMarker="1" nonoutliers="0" outliers="1"/>
            <cx:statistics quartileMethod="exclusive"/>
          </cx:layoutPr>
        </cx:series>
      </cx:plotAreaRegion>
      <cx:axis id="0" hidden="1">
        <cx:catScaling gapWidth="1"/>
        <cx:tickLabels/>
      </cx:axis>
      <cx:axis id="1">
        <cx:valScaling min="5"/>
        <cx:title>
          <cx:tx>
            <cx:txData>
              <cx:v>mm</cx:v>
            </cx:txData>
          </cx:tx>
          <cx:txPr>
            <a:bodyPr spcFirstLastPara="1" vertOverflow="ellipsis" horzOverflow="overflow" wrap="square" lIns="0" tIns="0" rIns="0" bIns="0" anchor="ctr" anchorCtr="1"/>
            <a:lstStyle/>
            <a:p>
              <a:pPr algn="ctr" rtl="0">
                <a:defRPr/>
              </a:pPr>
              <a:r>
                <a:rPr lang="es-ES" sz="900" b="0" i="0" u="none" strike="noStrike" baseline="0">
                  <a:solidFill>
                    <a:sysClr val="windowText" lastClr="000000">
                      <a:lumMod val="65000"/>
                      <a:lumOff val="35000"/>
                    </a:sysClr>
                  </a:solidFill>
                  <a:latin typeface="Aptos Narrow" panose="02110004020202020204"/>
                </a:rPr>
                <a:t>mm</a:t>
              </a:r>
            </a:p>
          </cx:txPr>
        </cx:title>
        <cx:majorGridlines/>
        <cx:tickLabels/>
      </cx:axis>
    </cx:plotArea>
    <cx:legend pos="t" align="ctr" overlay="0"/>
  </cx:chart>
</cx:chartSpace>
</file>

<file path=xl/charts/chartEx2.xml><?xml version="1.0" encoding="utf-8"?>
<cx:chartSpace xmlns:a="http://schemas.openxmlformats.org/drawingml/2006/main" xmlns:r="http://schemas.openxmlformats.org/officeDocument/2006/relationships" xmlns:cx="http://schemas.microsoft.com/office/drawing/2014/chartex">
  <cx:chartData>
    <cx:data id="0">
      <cx:numDim type="val">
        <cx:f>_xlchart.v1.1</cx:f>
      </cx:numDim>
    </cx:data>
    <cx:data id="1">
      <cx:numDim type="val">
        <cx:f>_xlchart.v1.3</cx:f>
      </cx:numDim>
    </cx:data>
  </cx:chartData>
  <cx:chart>
    <cx:title pos="t" align="ctr" overlay="0">
      <cx:tx>
        <cx:txData>
          <cx:v>LONGITUD FARINGEA INFERIOR</cx:v>
        </cx:txData>
      </cx:tx>
      <cx:txPr>
        <a:bodyPr spcFirstLastPara="1" vertOverflow="ellipsis" horzOverflow="overflow" wrap="square" lIns="0" tIns="0" rIns="0" bIns="0" anchor="ctr" anchorCtr="1"/>
        <a:lstStyle/>
        <a:p>
          <a:pPr algn="ctr" rtl="0">
            <a:defRPr/>
          </a:pPr>
          <a:r>
            <a:rPr lang="es-ES" sz="1400" b="0" i="0" u="none" strike="noStrike" baseline="0">
              <a:solidFill>
                <a:sysClr val="windowText" lastClr="000000">
                  <a:lumMod val="65000"/>
                  <a:lumOff val="35000"/>
                </a:sysClr>
              </a:solidFill>
              <a:latin typeface="Aptos Narrow" panose="02110004020202020204"/>
            </a:rPr>
            <a:t>LONGITUD FARINGEA INFERIOR</a:t>
          </a:r>
        </a:p>
      </cx:txPr>
    </cx:title>
    <cx:plotArea>
      <cx:plotAreaRegion>
        <cx:series layoutId="boxWhisker" uniqueId="{6E186E5F-9817-44E8-932E-DE9D3BAC6835}">
          <cx:tx>
            <cx:txData>
              <cx:f>_xlchart.v1.0</cx:f>
              <cx:v>ANTES </cx:v>
            </cx:txData>
          </cx:tx>
          <cx:dataId val="0"/>
          <cx:layoutPr>
            <cx:visibility meanLine="0" meanMarker="1" nonoutliers="0" outliers="1"/>
            <cx:statistics quartileMethod="exclusive"/>
          </cx:layoutPr>
        </cx:series>
        <cx:series layoutId="boxWhisker" uniqueId="{5D3BDDD8-7C6E-45ED-BE42-D73F9A7945EE}">
          <cx:tx>
            <cx:txData>
              <cx:f>_xlchart.v1.2</cx:f>
              <cx:v>DESPUÉS</cx:v>
            </cx:txData>
          </cx:tx>
          <cx:dataId val="1"/>
          <cx:layoutPr>
            <cx:visibility meanLine="0" meanMarker="1" nonoutliers="0" outliers="1"/>
            <cx:statistics quartileMethod="exclusive"/>
          </cx:layoutPr>
        </cx:series>
      </cx:plotAreaRegion>
      <cx:axis id="0" hidden="1">
        <cx:catScaling gapWidth="1"/>
        <cx:tickLabels/>
      </cx:axis>
      <cx:axis id="1">
        <cx:valScaling/>
        <cx:title>
          <cx:tx>
            <cx:txData>
              <cx:v>mm</cx:v>
            </cx:txData>
          </cx:tx>
          <cx:txPr>
            <a:bodyPr spcFirstLastPara="1" vertOverflow="ellipsis" horzOverflow="overflow" wrap="square" lIns="0" tIns="0" rIns="0" bIns="0" anchor="ctr" anchorCtr="1"/>
            <a:lstStyle/>
            <a:p>
              <a:pPr algn="ctr" rtl="0">
                <a:defRPr/>
              </a:pPr>
              <a:r>
                <a:rPr lang="es-ES" sz="900" b="0" i="0" u="none" strike="noStrike" baseline="0">
                  <a:solidFill>
                    <a:sysClr val="windowText" lastClr="000000">
                      <a:lumMod val="65000"/>
                      <a:lumOff val="35000"/>
                    </a:sysClr>
                  </a:solidFill>
                  <a:latin typeface="Aptos Narrow" panose="02110004020202020204"/>
                </a:rPr>
                <a:t>mm</a:t>
              </a:r>
            </a:p>
          </cx:txPr>
        </cx:title>
        <cx:tickLabels/>
      </cx:axis>
    </cx:plotArea>
    <cx:legend pos="t" align="ctr" overlay="0"/>
  </cx:chart>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40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40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2" Type="http://schemas.microsoft.com/office/2014/relationships/chartEx" Target="../charts/chartEx2.xml"/><Relationship Id="rId1" Type="http://schemas.microsoft.com/office/2014/relationships/chartEx" Target="../charts/chartEx1.xml"/></Relationships>
</file>

<file path=xl/drawings/drawing1.xml><?xml version="1.0" encoding="utf-8"?>
<xdr:wsDr xmlns:xdr="http://schemas.openxmlformats.org/drawingml/2006/spreadsheetDrawing" xmlns:a="http://schemas.openxmlformats.org/drawingml/2006/main">
  <xdr:twoCellAnchor>
    <xdr:from>
      <xdr:col>5</xdr:col>
      <xdr:colOff>171450</xdr:colOff>
      <xdr:row>9</xdr:row>
      <xdr:rowOff>38100</xdr:rowOff>
    </xdr:from>
    <xdr:to>
      <xdr:col>11</xdr:col>
      <xdr:colOff>171450</xdr:colOff>
      <xdr:row>23</xdr:row>
      <xdr:rowOff>114300</xdr:rowOff>
    </xdr:to>
    <mc:AlternateContent xmlns:mc="http://schemas.openxmlformats.org/markup-compatibility/2006">
      <mc:Choice xmlns:cx1="http://schemas.microsoft.com/office/drawing/2015/9/8/chartex" Requires="cx1">
        <xdr:graphicFrame macro="">
          <xdr:nvGraphicFramePr>
            <xdr:cNvPr id="4" name="Gráfico 3">
              <a:extLst>
                <a:ext uri="{FF2B5EF4-FFF2-40B4-BE49-F238E27FC236}">
                  <a16:creationId xmlns:a16="http://schemas.microsoft.com/office/drawing/2014/main" id="{D1BB5640-83D1-466F-8B7E-F31A49119E8B}"/>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3981450" y="1752600"/>
              <a:ext cx="4572000" cy="2743200"/>
            </a:xfrm>
            <a:prstGeom prst="rect">
              <a:avLst/>
            </a:prstGeom>
            <a:solidFill>
              <a:prstClr val="white"/>
            </a:solidFill>
            <a:ln w="1">
              <a:solidFill>
                <a:prstClr val="green"/>
              </a:solidFill>
            </a:ln>
          </xdr:spPr>
          <xdr:txBody>
            <a:bodyPr vertOverflow="clip" horzOverflow="clip"/>
            <a:lstStyle/>
            <a:p>
              <a:r>
                <a:rPr lang="es-CO" sz="1100"/>
                <a:t>Este gráfico no está disponible en su versión de Excel.
Si edita esta forma o guarda el libro en un formato de archivo diferente, el gráfico no se podrá utilizar.</a:t>
              </a:r>
            </a:p>
          </xdr:txBody>
        </xdr:sp>
      </mc:Fallback>
    </mc:AlternateContent>
    <xdr:clientData/>
  </xdr:twoCellAnchor>
  <xdr:twoCellAnchor>
    <xdr:from>
      <xdr:col>11</xdr:col>
      <xdr:colOff>133350</xdr:colOff>
      <xdr:row>9</xdr:row>
      <xdr:rowOff>57150</xdr:rowOff>
    </xdr:from>
    <xdr:to>
      <xdr:col>19</xdr:col>
      <xdr:colOff>523875</xdr:colOff>
      <xdr:row>23</xdr:row>
      <xdr:rowOff>133350</xdr:rowOff>
    </xdr:to>
    <mc:AlternateContent xmlns:mc="http://schemas.openxmlformats.org/markup-compatibility/2006">
      <mc:Choice xmlns:cx1="http://schemas.microsoft.com/office/drawing/2015/9/8/chartex" Requires="cx1">
        <xdr:graphicFrame macro="">
          <xdr:nvGraphicFramePr>
            <xdr:cNvPr id="6" name="Gráfico 5">
              <a:extLst>
                <a:ext uri="{FF2B5EF4-FFF2-40B4-BE49-F238E27FC236}">
                  <a16:creationId xmlns:a16="http://schemas.microsoft.com/office/drawing/2014/main" id="{DA535F88-C95C-45E2-974C-ACE0418A583C}"/>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2"/>
            </a:graphicData>
          </a:graphic>
        </xdr:graphicFrame>
      </mc:Choice>
      <mc:Fallback>
        <xdr:sp macro="" textlink="">
          <xdr:nvSpPr>
            <xdr:cNvPr id="0" name=""/>
            <xdr:cNvSpPr>
              <a:spLocks noTextEdit="1"/>
            </xdr:cNvSpPr>
          </xdr:nvSpPr>
          <xdr:spPr>
            <a:xfrm>
              <a:off x="8515350" y="1771650"/>
              <a:ext cx="4572000" cy="2743200"/>
            </a:xfrm>
            <a:prstGeom prst="rect">
              <a:avLst/>
            </a:prstGeom>
            <a:solidFill>
              <a:prstClr val="white"/>
            </a:solidFill>
            <a:ln w="1">
              <a:solidFill>
                <a:prstClr val="green"/>
              </a:solidFill>
            </a:ln>
          </xdr:spPr>
          <xdr:txBody>
            <a:bodyPr vertOverflow="clip" horzOverflow="clip"/>
            <a:lstStyle/>
            <a:p>
              <a:r>
                <a:rPr lang="es-CO" sz="1100"/>
                <a:t>Este gráfico no está disponible en su versión de Excel.
Si edita esta forma o guarda el libro en un formato de archivo diferente, el gráfico no se podrá utilizar.</a:t>
              </a:r>
            </a:p>
          </xdr:txBody>
        </xdr:sp>
      </mc:Fallback>
    </mc:AlternateContent>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panamericana\AppData\Roaming\Microsoft\Complementos\XRealStats.xlam" TargetMode="External"/><Relationship Id="rId1" Type="http://schemas.openxmlformats.org/officeDocument/2006/relationships/externalLinkPath" Target="/Users/panamericana/AppData/Roaming/Microsoft/Complementos/XRealStats.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fig"/>
      <sheetName val="Wilcoxon Table"/>
      <sheetName val="Mann Table"/>
      <sheetName val="Runs Table"/>
      <sheetName val="KS Table"/>
      <sheetName val="KS2 Table"/>
      <sheetName val="Lil Table"/>
      <sheetName val="AD Table"/>
      <sheetName val="AD2 Table"/>
      <sheetName val="SW Table"/>
      <sheetName val="Stud. Q Table"/>
      <sheetName val="Stud. Q Table 2"/>
      <sheetName val="Sp Rho Table"/>
      <sheetName val="Ken Tau Table"/>
      <sheetName val="Durbin Table"/>
      <sheetName val="Dunnett Table"/>
      <sheetName val="Dunnett 1"/>
      <sheetName val="Kendall Tc"/>
      <sheetName val="Kendall u"/>
      <sheetName val="Page Table"/>
      <sheetName val="Prime"/>
      <sheetName val="MSSD"/>
      <sheetName val="Dict"/>
      <sheetName val="ADict"/>
      <sheetName val="XRealStats"/>
    </sheetNames>
    <definedNames>
      <definedName name="COCHRAN"/>
      <definedName name="DAGOSTINO"/>
      <definedName name="DPTEST"/>
      <definedName name="IQR"/>
      <definedName name="MAD"/>
      <definedName name="QCRIT"/>
      <definedName name="QDIST"/>
      <definedName name="QRATIO"/>
      <definedName name="SHAPIRO"/>
      <definedName name="SortUnique"/>
      <definedName name="SRANK"/>
      <definedName name="SRDIST"/>
      <definedName name="StdAnova2"/>
      <definedName name="SWTEST"/>
      <definedName name="TiesCorrection"/>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panamericana" refreshedDate="45393.64019085648" createdVersion="8" refreshedVersion="8" minRefreshableVersion="3" recordCount="36" xr:uid="{3C312215-95A1-448C-9C21-43E31E82F738}">
  <cacheSource type="worksheet">
    <worksheetSource ref="D244:E280" sheet="base"/>
  </cacheSource>
  <cacheFields count="2">
    <cacheField name="ANTES" numFmtId="0">
      <sharedItems containsSemiMixedTypes="0" containsString="0" containsNumber="1" containsInteger="1" minValue="1" maxValue="1" count="1">
        <n v="1"/>
      </sharedItems>
    </cacheField>
    <cacheField name="DESPUES" numFmtId="0">
      <sharedItems containsSemiMixedTypes="0" containsString="0" containsNumber="1" containsInteger="1" minValue="0" maxValue="1" count="2">
        <n v="0"/>
        <n v="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6">
  <r>
    <x v="0"/>
    <x v="0"/>
  </r>
  <r>
    <x v="0"/>
    <x v="0"/>
  </r>
  <r>
    <x v="0"/>
    <x v="0"/>
  </r>
  <r>
    <x v="0"/>
    <x v="0"/>
  </r>
  <r>
    <x v="0"/>
    <x v="0"/>
  </r>
  <r>
    <x v="0"/>
    <x v="0"/>
  </r>
  <r>
    <x v="0"/>
    <x v="0"/>
  </r>
  <r>
    <x v="0"/>
    <x v="0"/>
  </r>
  <r>
    <x v="0"/>
    <x v="0"/>
  </r>
  <r>
    <x v="0"/>
    <x v="0"/>
  </r>
  <r>
    <x v="0"/>
    <x v="0"/>
  </r>
  <r>
    <x v="0"/>
    <x v="0"/>
  </r>
  <r>
    <x v="0"/>
    <x v="0"/>
  </r>
  <r>
    <x v="0"/>
    <x v="0"/>
  </r>
  <r>
    <x v="0"/>
    <x v="0"/>
  </r>
  <r>
    <x v="0"/>
    <x v="0"/>
  </r>
  <r>
    <x v="0"/>
    <x v="0"/>
  </r>
  <r>
    <x v="0"/>
    <x v="0"/>
  </r>
  <r>
    <x v="0"/>
    <x v="0"/>
  </r>
  <r>
    <x v="0"/>
    <x v="0"/>
  </r>
  <r>
    <x v="0"/>
    <x v="1"/>
  </r>
  <r>
    <x v="0"/>
    <x v="1"/>
  </r>
  <r>
    <x v="0"/>
    <x v="0"/>
  </r>
  <r>
    <x v="0"/>
    <x v="0"/>
  </r>
  <r>
    <x v="0"/>
    <x v="0"/>
  </r>
  <r>
    <x v="0"/>
    <x v="0"/>
  </r>
  <r>
    <x v="0"/>
    <x v="0"/>
  </r>
  <r>
    <x v="0"/>
    <x v="0"/>
  </r>
  <r>
    <x v="0"/>
    <x v="0"/>
  </r>
  <r>
    <x v="0"/>
    <x v="1"/>
  </r>
  <r>
    <x v="0"/>
    <x v="0"/>
  </r>
  <r>
    <x v="0"/>
    <x v="0"/>
  </r>
  <r>
    <x v="0"/>
    <x v="0"/>
  </r>
  <r>
    <x v="0"/>
    <x v="1"/>
  </r>
  <r>
    <x v="0"/>
    <x v="0"/>
  </r>
  <r>
    <x v="0"/>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540FBCDC-73EE-4D30-BB42-FD8235C21862}" name="TablaDinámica2"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G245:J248" firstHeaderRow="1" firstDataRow="2" firstDataCol="1"/>
  <pivotFields count="2">
    <pivotField axis="axisRow" showAll="0">
      <items count="2">
        <item x="0"/>
        <item t="default"/>
      </items>
    </pivotField>
    <pivotField axis="axisCol" dataField="1" showAll="0">
      <items count="3">
        <item x="0"/>
        <item x="1"/>
        <item t="default"/>
      </items>
    </pivotField>
  </pivotFields>
  <rowFields count="1">
    <field x="0"/>
  </rowFields>
  <rowItems count="2">
    <i>
      <x/>
    </i>
    <i t="grand">
      <x/>
    </i>
  </rowItems>
  <colFields count="1">
    <field x="1"/>
  </colFields>
  <colItems count="3">
    <i>
      <x/>
    </i>
    <i>
      <x v="1"/>
    </i>
    <i t="grand">
      <x/>
    </i>
  </colItems>
  <dataFields count="1">
    <dataField name="Cuenta de DESPUES" fld="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0F9EF3-68BE-4715-AF6C-71C1BD3E05F9}">
  <dimension ref="A1:AU53"/>
  <sheetViews>
    <sheetView tabSelected="1" zoomScale="82" workbookViewId="0">
      <selection activeCell="A3" sqref="A3:J3"/>
    </sheetView>
  </sheetViews>
  <sheetFormatPr baseColWidth="10" defaultColWidth="11.42578125" defaultRowHeight="15" x14ac:dyDescent="0.25"/>
  <cols>
    <col min="1" max="1" width="17.28515625" customWidth="1"/>
    <col min="2" max="2" width="15.85546875" customWidth="1"/>
    <col min="3" max="3" width="12.85546875" customWidth="1"/>
    <col min="4" max="4" width="14.7109375" customWidth="1"/>
    <col min="5" max="5" width="12.42578125" customWidth="1"/>
    <col min="6" max="6" width="13.140625" customWidth="1"/>
    <col min="10" max="10" width="63.140625" customWidth="1"/>
  </cols>
  <sheetData>
    <row r="1" spans="1:47" ht="18.75" customHeight="1" x14ac:dyDescent="0.3">
      <c r="A1" s="93" t="s">
        <v>135</v>
      </c>
      <c r="B1" s="93"/>
      <c r="C1" s="93"/>
      <c r="D1" s="93"/>
      <c r="E1" s="93"/>
      <c r="F1" s="93"/>
      <c r="G1" s="93"/>
      <c r="H1" s="93"/>
      <c r="I1" s="93"/>
      <c r="J1" s="93"/>
      <c r="K1" s="1"/>
      <c r="L1" s="1"/>
      <c r="M1" s="1"/>
      <c r="N1" s="1"/>
    </row>
    <row r="2" spans="1:47" ht="15" customHeight="1" x14ac:dyDescent="0.3">
      <c r="A2" s="93"/>
      <c r="B2" s="93"/>
      <c r="C2" s="93"/>
      <c r="D2" s="93"/>
      <c r="E2" s="93"/>
      <c r="F2" s="93"/>
      <c r="G2" s="93"/>
      <c r="H2" s="93"/>
      <c r="I2" s="93"/>
      <c r="J2" s="93"/>
      <c r="K2" s="1"/>
      <c r="L2" s="1"/>
      <c r="M2" s="1"/>
      <c r="N2" s="1"/>
    </row>
    <row r="3" spans="1:47" ht="58.5" customHeight="1" x14ac:dyDescent="0.25">
      <c r="A3" s="94" t="s">
        <v>43</v>
      </c>
      <c r="B3" s="94"/>
      <c r="C3" s="95"/>
      <c r="D3" s="95"/>
      <c r="E3" s="95"/>
      <c r="F3" s="95"/>
      <c r="G3" s="95"/>
      <c r="H3" s="95"/>
      <c r="I3" s="95"/>
      <c r="J3" s="95"/>
    </row>
    <row r="4" spans="1:47" x14ac:dyDescent="0.25">
      <c r="A4" s="2"/>
      <c r="B4" s="2"/>
      <c r="C4" s="96" t="s">
        <v>44</v>
      </c>
      <c r="D4" s="96"/>
      <c r="E4" s="96"/>
      <c r="F4" s="96"/>
      <c r="G4" s="97"/>
      <c r="H4" s="98"/>
      <c r="I4" s="98"/>
      <c r="J4" s="99"/>
    </row>
    <row r="5" spans="1:47" x14ac:dyDescent="0.25">
      <c r="A5" s="2"/>
      <c r="B5" s="2"/>
      <c r="C5" s="90" t="s">
        <v>19</v>
      </c>
      <c r="D5" s="91"/>
      <c r="E5" s="92" t="s">
        <v>33</v>
      </c>
      <c r="F5" s="92"/>
      <c r="G5" s="100" t="s">
        <v>38</v>
      </c>
      <c r="H5" s="100"/>
      <c r="I5" s="100"/>
      <c r="J5" s="100"/>
      <c r="N5" s="90" t="s">
        <v>19</v>
      </c>
      <c r="O5" s="91"/>
      <c r="P5" s="92" t="s">
        <v>33</v>
      </c>
      <c r="Q5" s="92"/>
    </row>
    <row r="6" spans="1:47" x14ac:dyDescent="0.25">
      <c r="A6" s="11" t="s">
        <v>45</v>
      </c>
      <c r="B6" s="16" t="s">
        <v>46</v>
      </c>
      <c r="C6" s="8" t="s">
        <v>20</v>
      </c>
      <c r="D6" s="15" t="s">
        <v>28</v>
      </c>
      <c r="E6" s="8" t="s">
        <v>34</v>
      </c>
      <c r="F6" s="9" t="s">
        <v>28</v>
      </c>
      <c r="G6" s="8" t="s">
        <v>20</v>
      </c>
      <c r="H6" s="7" t="s">
        <v>13</v>
      </c>
      <c r="I6" s="15" t="s">
        <v>28</v>
      </c>
      <c r="J6" s="9" t="s">
        <v>13</v>
      </c>
      <c r="N6" s="8" t="s">
        <v>20</v>
      </c>
      <c r="O6" s="15" t="s">
        <v>28</v>
      </c>
      <c r="P6" s="8" t="s">
        <v>34</v>
      </c>
      <c r="Q6" s="9" t="s">
        <v>28</v>
      </c>
      <c r="R6" s="8" t="s">
        <v>20</v>
      </c>
      <c r="S6" s="15" t="s">
        <v>28</v>
      </c>
      <c r="U6" t="s">
        <v>47</v>
      </c>
      <c r="AC6" t="s">
        <v>48</v>
      </c>
      <c r="AP6" s="7" t="s">
        <v>13</v>
      </c>
      <c r="AQ6" s="9" t="s">
        <v>13</v>
      </c>
      <c r="AR6" t="s">
        <v>134</v>
      </c>
      <c r="AT6" t="s">
        <v>16</v>
      </c>
    </row>
    <row r="7" spans="1:47" x14ac:dyDescent="0.25">
      <c r="A7" s="6">
        <v>1</v>
      </c>
      <c r="B7" s="6" t="s">
        <v>30</v>
      </c>
      <c r="C7" s="4">
        <v>12.6</v>
      </c>
      <c r="D7" s="10">
        <v>13.8</v>
      </c>
      <c r="E7" s="4">
        <v>10.6</v>
      </c>
      <c r="F7" s="5">
        <v>11.3</v>
      </c>
      <c r="G7" s="4">
        <v>18</v>
      </c>
      <c r="H7" s="4">
        <v>1</v>
      </c>
      <c r="I7" s="78">
        <v>1</v>
      </c>
      <c r="J7" s="5">
        <v>0</v>
      </c>
      <c r="N7" s="4">
        <v>12.6</v>
      </c>
      <c r="O7" s="10">
        <v>13.8</v>
      </c>
      <c r="P7" s="4">
        <v>10.6</v>
      </c>
      <c r="Q7" s="5">
        <v>11.3</v>
      </c>
      <c r="R7" s="4">
        <v>18</v>
      </c>
      <c r="S7" s="78">
        <v>1</v>
      </c>
      <c r="AP7" s="4">
        <v>1</v>
      </c>
      <c r="AQ7" s="5">
        <v>0</v>
      </c>
      <c r="AR7">
        <f>+SUM(AP7:AQ7)</f>
        <v>1</v>
      </c>
    </row>
    <row r="8" spans="1:47" x14ac:dyDescent="0.25">
      <c r="A8" s="6">
        <v>2</v>
      </c>
      <c r="B8" s="6" t="s">
        <v>30</v>
      </c>
      <c r="C8" s="3">
        <v>16.5</v>
      </c>
      <c r="D8" s="5">
        <v>19.3</v>
      </c>
      <c r="E8" s="3">
        <v>7.9</v>
      </c>
      <c r="F8" s="5">
        <v>9.6</v>
      </c>
      <c r="G8" s="4">
        <v>16</v>
      </c>
      <c r="H8" s="4">
        <v>1</v>
      </c>
      <c r="I8" s="78">
        <v>0</v>
      </c>
      <c r="J8" s="5">
        <v>0</v>
      </c>
      <c r="N8" s="3">
        <v>16.5</v>
      </c>
      <c r="O8" s="5">
        <v>19.3</v>
      </c>
      <c r="P8" s="3">
        <v>7.9</v>
      </c>
      <c r="Q8" s="5">
        <v>9.6</v>
      </c>
      <c r="R8" s="4">
        <v>16</v>
      </c>
      <c r="S8" s="78">
        <v>0</v>
      </c>
      <c r="U8" s="20"/>
      <c r="V8" s="20" t="str">
        <f>N6</f>
        <v>ANTES</v>
      </c>
      <c r="W8" s="20" t="str">
        <f t="shared" ref="W8:AA8" si="0">O6</f>
        <v>DESPUÉS</v>
      </c>
      <c r="X8" s="20" t="str">
        <f t="shared" si="0"/>
        <v xml:space="preserve">ANTES </v>
      </c>
      <c r="Y8" s="20" t="str">
        <f t="shared" si="0"/>
        <v>DESPUÉS</v>
      </c>
      <c r="Z8" s="20" t="str">
        <f t="shared" si="0"/>
        <v>ANTES</v>
      </c>
      <c r="AA8" s="20" t="str">
        <f t="shared" si="0"/>
        <v>DESPUÉS</v>
      </c>
      <c r="AC8" s="20"/>
      <c r="AD8" s="20" t="str">
        <f>N6</f>
        <v>ANTES</v>
      </c>
      <c r="AE8" s="20" t="str">
        <f t="shared" ref="AE8:AI8" si="1">O6</f>
        <v>DESPUÉS</v>
      </c>
      <c r="AF8" s="20" t="str">
        <f t="shared" si="1"/>
        <v xml:space="preserve">ANTES </v>
      </c>
      <c r="AG8" s="20" t="str">
        <f t="shared" si="1"/>
        <v>DESPUÉS</v>
      </c>
      <c r="AH8" s="20" t="str">
        <f t="shared" si="1"/>
        <v>ANTES</v>
      </c>
      <c r="AI8" s="20" t="str">
        <f t="shared" si="1"/>
        <v>DESPUÉS</v>
      </c>
      <c r="AP8" s="4">
        <v>1</v>
      </c>
      <c r="AQ8" s="5">
        <v>0</v>
      </c>
      <c r="AR8">
        <f t="shared" ref="AR8:AR47" si="2">+SUM(AP8:AQ8)</f>
        <v>1</v>
      </c>
      <c r="AT8" t="s">
        <v>31</v>
      </c>
      <c r="AU8" s="47">
        <v>0.05</v>
      </c>
    </row>
    <row r="9" spans="1:47" x14ac:dyDescent="0.25">
      <c r="A9" s="6">
        <v>3</v>
      </c>
      <c r="B9" s="6" t="s">
        <v>30</v>
      </c>
      <c r="C9" s="3">
        <v>12</v>
      </c>
      <c r="D9" s="5">
        <v>21</v>
      </c>
      <c r="E9" s="4">
        <v>7.3</v>
      </c>
      <c r="F9" s="5">
        <v>10.1</v>
      </c>
      <c r="G9" s="4">
        <v>16</v>
      </c>
      <c r="H9" s="4">
        <v>1</v>
      </c>
      <c r="I9" s="10">
        <v>0</v>
      </c>
      <c r="J9" s="5">
        <v>0</v>
      </c>
      <c r="N9" s="3">
        <v>12</v>
      </c>
      <c r="O9" s="5">
        <v>21</v>
      </c>
      <c r="P9" s="4">
        <v>7.3</v>
      </c>
      <c r="Q9" s="5">
        <v>10.1</v>
      </c>
      <c r="R9" s="4">
        <v>16</v>
      </c>
      <c r="S9" s="10">
        <v>0</v>
      </c>
      <c r="U9" t="s">
        <v>5</v>
      </c>
      <c r="V9">
        <f>AVERAGE(N7:N47)</f>
        <v>14.463414634146345</v>
      </c>
      <c r="W9">
        <f t="shared" ref="W9:AA9" si="3">AVERAGE(O7:O47)</f>
        <v>17.529268292682925</v>
      </c>
      <c r="X9">
        <f t="shared" si="3"/>
        <v>10.378048780487806</v>
      </c>
      <c r="Y9">
        <f t="shared" si="3"/>
        <v>12.726829268292683</v>
      </c>
      <c r="Z9">
        <f t="shared" si="3"/>
        <v>16.26829268292683</v>
      </c>
      <c r="AA9">
        <f t="shared" si="3"/>
        <v>2.3170731707317072</v>
      </c>
      <c r="AC9" t="s">
        <v>49</v>
      </c>
      <c r="AD9">
        <f>[1]!SHAPIRO(N7:N47)</f>
        <v>0.95224817697714548</v>
      </c>
      <c r="AE9">
        <f>[1]!SHAPIRO(O7:O47)</f>
        <v>0.97900687286785548</v>
      </c>
      <c r="AF9">
        <f>[1]!SHAPIRO(P7:P47)</f>
        <v>0.94054641256847304</v>
      </c>
      <c r="AG9">
        <f>[1]!SHAPIRO(Q7:Q47)</f>
        <v>0.94379492020919498</v>
      </c>
      <c r="AH9">
        <f>[1]!SHAPIRO(R7:R47)</f>
        <v>0.91642422368131238</v>
      </c>
      <c r="AI9">
        <f>[1]!SHAPIRO(S7:S47)</f>
        <v>0.78791755243760653</v>
      </c>
      <c r="AP9" s="4">
        <v>1</v>
      </c>
      <c r="AQ9" s="5">
        <v>0</v>
      </c>
      <c r="AR9">
        <f t="shared" si="2"/>
        <v>1</v>
      </c>
    </row>
    <row r="10" spans="1:47" x14ac:dyDescent="0.25">
      <c r="A10" s="6">
        <v>4</v>
      </c>
      <c r="B10" s="6" t="s">
        <v>35</v>
      </c>
      <c r="C10" s="3">
        <v>13.8</v>
      </c>
      <c r="D10" s="5">
        <v>19</v>
      </c>
      <c r="E10" s="3">
        <v>8.9</v>
      </c>
      <c r="F10" s="5">
        <v>10</v>
      </c>
      <c r="G10" s="79">
        <v>21</v>
      </c>
      <c r="H10" s="4">
        <v>1</v>
      </c>
      <c r="I10" s="10">
        <v>0</v>
      </c>
      <c r="J10" s="5">
        <v>0</v>
      </c>
      <c r="N10" s="3">
        <v>13.8</v>
      </c>
      <c r="O10" s="5">
        <v>19</v>
      </c>
      <c r="P10" s="3">
        <v>8.9</v>
      </c>
      <c r="Q10" s="5">
        <v>10</v>
      </c>
      <c r="R10" s="79">
        <v>21</v>
      </c>
      <c r="S10" s="10">
        <v>0</v>
      </c>
      <c r="U10" t="s">
        <v>6</v>
      </c>
      <c r="V10">
        <f>_xlfn.STDEV.S(N7:N47)/SQRT(COUNT(N7:N47))</f>
        <v>0.46428224302655352</v>
      </c>
      <c r="W10">
        <f t="shared" ref="W10:AA10" si="4">_xlfn.STDEV.S(O7:O47)/SQRT(COUNT(O7:O47))</f>
        <v>0.50276362945515063</v>
      </c>
      <c r="X10">
        <f t="shared" si="4"/>
        <v>0.50911822618444413</v>
      </c>
      <c r="Y10">
        <f t="shared" si="4"/>
        <v>0.50365765074037838</v>
      </c>
      <c r="Z10">
        <f t="shared" si="4"/>
        <v>0.55658408328019637</v>
      </c>
      <c r="AA10">
        <f t="shared" si="4"/>
        <v>0.45590839953722079</v>
      </c>
      <c r="AC10" t="s">
        <v>23</v>
      </c>
      <c r="AD10">
        <f>[1]!SWTEST(N7:N47)</f>
        <v>8.3950397200938109E-2</v>
      </c>
      <c r="AE10">
        <f>[1]!SWTEST(O7:O47)</f>
        <v>0.63798056356184574</v>
      </c>
      <c r="AF10">
        <f>[1]!SWTEST(P7:P47)</f>
        <v>3.2817037642247748E-2</v>
      </c>
      <c r="AG10">
        <f>[1]!SWTEST(Q7:Q47)</f>
        <v>4.2490143577904593E-2</v>
      </c>
      <c r="AH10">
        <f>[1]!SWTEST(R7:R47)</f>
        <v>5.2537709543101219E-3</v>
      </c>
      <c r="AI10">
        <f>[1]!SWTEST(S7:S47)</f>
        <v>3.0733939111460273E-6</v>
      </c>
      <c r="AP10" s="4">
        <v>1</v>
      </c>
      <c r="AQ10" s="5">
        <v>0</v>
      </c>
      <c r="AR10">
        <f t="shared" si="2"/>
        <v>1</v>
      </c>
      <c r="AT10" t="s">
        <v>37</v>
      </c>
      <c r="AU10" s="37">
        <f>[1]!COCHRAN(AP7:AR47)</f>
        <v>35.027027027027025</v>
      </c>
    </row>
    <row r="11" spans="1:47" x14ac:dyDescent="0.25">
      <c r="A11" s="6">
        <v>5</v>
      </c>
      <c r="B11" s="6" t="s">
        <v>30</v>
      </c>
      <c r="C11" s="3">
        <v>13.4</v>
      </c>
      <c r="D11" s="5">
        <v>15.9</v>
      </c>
      <c r="E11" s="3">
        <v>7.6</v>
      </c>
      <c r="F11" s="5">
        <v>10.4</v>
      </c>
      <c r="G11" s="4">
        <v>19</v>
      </c>
      <c r="H11" s="4">
        <v>1</v>
      </c>
      <c r="I11" s="78">
        <v>1</v>
      </c>
      <c r="J11" s="5">
        <v>0</v>
      </c>
      <c r="N11" s="3">
        <v>13.4</v>
      </c>
      <c r="O11" s="5">
        <v>15.9</v>
      </c>
      <c r="P11" s="3">
        <v>7.6</v>
      </c>
      <c r="Q11" s="5">
        <v>10.4</v>
      </c>
      <c r="R11" s="4">
        <v>19</v>
      </c>
      <c r="S11" s="78">
        <v>1</v>
      </c>
      <c r="U11" t="s">
        <v>7</v>
      </c>
      <c r="V11">
        <f>MEDIAN(N7:N47)</f>
        <v>15.3</v>
      </c>
      <c r="W11">
        <f t="shared" ref="W11:AA11" si="5">MEDIAN(O7:O47)</f>
        <v>17.5</v>
      </c>
      <c r="X11">
        <f t="shared" si="5"/>
        <v>9.4</v>
      </c>
      <c r="Y11">
        <f t="shared" si="5"/>
        <v>13</v>
      </c>
      <c r="Z11">
        <f t="shared" si="5"/>
        <v>16</v>
      </c>
      <c r="AA11">
        <f t="shared" si="5"/>
        <v>1</v>
      </c>
      <c r="AC11" t="s">
        <v>50</v>
      </c>
      <c r="AD11">
        <v>0.05</v>
      </c>
      <c r="AE11">
        <v>0.05</v>
      </c>
      <c r="AF11">
        <v>0.05</v>
      </c>
      <c r="AG11">
        <v>0.05</v>
      </c>
      <c r="AH11">
        <v>0.05</v>
      </c>
      <c r="AI11">
        <v>0.05</v>
      </c>
      <c r="AP11" s="4">
        <v>1</v>
      </c>
      <c r="AQ11" s="5">
        <v>0</v>
      </c>
      <c r="AR11">
        <f t="shared" si="2"/>
        <v>1</v>
      </c>
      <c r="AT11" t="s">
        <v>39</v>
      </c>
      <c r="AU11" s="38">
        <f>COUNT(AP7:AR7)-2</f>
        <v>1</v>
      </c>
    </row>
    <row r="12" spans="1:47" x14ac:dyDescent="0.25">
      <c r="A12" s="6">
        <v>6</v>
      </c>
      <c r="B12" s="6" t="s">
        <v>30</v>
      </c>
      <c r="C12" s="3">
        <v>11.3</v>
      </c>
      <c r="D12" s="5">
        <v>16.399999999999999</v>
      </c>
      <c r="E12" s="3">
        <v>9.1</v>
      </c>
      <c r="F12" s="5">
        <v>10.3</v>
      </c>
      <c r="G12" s="4">
        <v>16</v>
      </c>
      <c r="H12" s="4">
        <v>1</v>
      </c>
      <c r="I12" s="10">
        <v>0</v>
      </c>
      <c r="J12" s="5">
        <v>0</v>
      </c>
      <c r="N12" s="3">
        <v>11.3</v>
      </c>
      <c r="O12" s="5">
        <v>16.399999999999999</v>
      </c>
      <c r="P12" s="3">
        <v>9.1</v>
      </c>
      <c r="Q12" s="5">
        <v>10.3</v>
      </c>
      <c r="R12" s="4">
        <v>16</v>
      </c>
      <c r="S12" s="10">
        <v>0</v>
      </c>
      <c r="U12" t="s">
        <v>51</v>
      </c>
      <c r="V12">
        <f>MODE(N7:N47)</f>
        <v>16.5</v>
      </c>
      <c r="W12">
        <f t="shared" ref="W12:AA12" si="6">MODE(O7:O47)</f>
        <v>19.3</v>
      </c>
      <c r="X12">
        <f t="shared" si="6"/>
        <v>7.9</v>
      </c>
      <c r="Y12">
        <f t="shared" si="6"/>
        <v>11.3</v>
      </c>
      <c r="Z12">
        <f t="shared" si="6"/>
        <v>20</v>
      </c>
      <c r="AA12">
        <f t="shared" si="6"/>
        <v>0</v>
      </c>
      <c r="AC12" s="19" t="s">
        <v>52</v>
      </c>
      <c r="AD12" s="21" t="str">
        <f>IF(AD10&lt;AD11,"no","yes")</f>
        <v>yes</v>
      </c>
      <c r="AE12" s="21" t="str">
        <f t="shared" ref="AE12:AI12" si="7">IF(AE10&lt;AE11,"no","yes")</f>
        <v>yes</v>
      </c>
      <c r="AF12" s="21" t="str">
        <f t="shared" si="7"/>
        <v>no</v>
      </c>
      <c r="AG12" s="21" t="str">
        <f t="shared" si="7"/>
        <v>no</v>
      </c>
      <c r="AH12" s="21" t="str">
        <f t="shared" si="7"/>
        <v>no</v>
      </c>
      <c r="AI12" s="21" t="str">
        <f t="shared" si="7"/>
        <v>no</v>
      </c>
      <c r="AP12" s="4">
        <v>1</v>
      </c>
      <c r="AQ12" s="5">
        <v>0</v>
      </c>
      <c r="AR12">
        <f t="shared" si="2"/>
        <v>1</v>
      </c>
      <c r="AT12" t="s">
        <v>23</v>
      </c>
      <c r="AU12" s="38">
        <f>_xlfn.CHISQ.DIST.RT(AU10,AU11)</f>
        <v>3.2516061726496814E-9</v>
      </c>
    </row>
    <row r="13" spans="1:47" x14ac:dyDescent="0.25">
      <c r="A13" s="6">
        <v>7</v>
      </c>
      <c r="B13" s="6" t="s">
        <v>30</v>
      </c>
      <c r="C13" s="3">
        <v>12</v>
      </c>
      <c r="D13" s="5">
        <v>20.6</v>
      </c>
      <c r="E13" s="3">
        <v>9.4</v>
      </c>
      <c r="F13" s="5">
        <v>10.1</v>
      </c>
      <c r="G13" s="4">
        <v>16</v>
      </c>
      <c r="H13" s="4">
        <v>1</v>
      </c>
      <c r="I13" s="10">
        <v>0</v>
      </c>
      <c r="J13" s="5">
        <v>0</v>
      </c>
      <c r="N13" s="3">
        <v>12</v>
      </c>
      <c r="O13" s="5">
        <v>20.6</v>
      </c>
      <c r="P13" s="3">
        <v>9.4</v>
      </c>
      <c r="Q13" s="5">
        <v>10.1</v>
      </c>
      <c r="R13" s="4">
        <v>16</v>
      </c>
      <c r="S13" s="10">
        <v>0</v>
      </c>
      <c r="U13" t="s">
        <v>53</v>
      </c>
      <c r="V13">
        <f>_xlfn.STDEV.S(N7:N47)</f>
        <v>2.9728568833330131</v>
      </c>
      <c r="W13">
        <f t="shared" ref="W13:AA13" si="8">_xlfn.STDEV.S(O7:O47)</f>
        <v>3.2192579814639828</v>
      </c>
      <c r="X13">
        <f t="shared" si="8"/>
        <v>3.259947253800433</v>
      </c>
      <c r="Y13">
        <f t="shared" si="8"/>
        <v>3.2249825108242054</v>
      </c>
      <c r="Z13">
        <f t="shared" si="8"/>
        <v>3.5638770338207686</v>
      </c>
      <c r="AA13">
        <f t="shared" si="8"/>
        <v>2.9192381231259974</v>
      </c>
      <c r="AP13" s="4">
        <v>1</v>
      </c>
      <c r="AQ13" s="5">
        <v>0</v>
      </c>
      <c r="AR13">
        <f t="shared" si="2"/>
        <v>1</v>
      </c>
      <c r="AT13" t="s">
        <v>41</v>
      </c>
      <c r="AU13" s="48" t="str">
        <f>IF(AU12&lt;AU8,"yes","no")</f>
        <v>yes</v>
      </c>
    </row>
    <row r="14" spans="1:47" x14ac:dyDescent="0.25">
      <c r="A14" s="6">
        <v>8</v>
      </c>
      <c r="B14" s="6" t="s">
        <v>35</v>
      </c>
      <c r="C14" s="3">
        <v>16.100000000000001</v>
      </c>
      <c r="D14" s="5">
        <v>15.6</v>
      </c>
      <c r="E14" s="3">
        <v>10.199999999999999</v>
      </c>
      <c r="F14" s="5">
        <v>9.9</v>
      </c>
      <c r="G14" s="4">
        <v>18</v>
      </c>
      <c r="H14" s="4">
        <v>1</v>
      </c>
      <c r="I14" s="78">
        <v>2</v>
      </c>
      <c r="J14" s="5">
        <v>0</v>
      </c>
      <c r="N14" s="3">
        <v>16.100000000000001</v>
      </c>
      <c r="O14" s="5">
        <v>15.6</v>
      </c>
      <c r="P14" s="3">
        <v>10.199999999999999</v>
      </c>
      <c r="Q14" s="5">
        <v>9.9</v>
      </c>
      <c r="R14" s="4">
        <v>18</v>
      </c>
      <c r="S14" s="78">
        <v>2</v>
      </c>
      <c r="U14" t="s">
        <v>54</v>
      </c>
      <c r="V14">
        <f>_xlfn.VAR.S(N7:N47)</f>
        <v>8.8378780487804764</v>
      </c>
      <c r="W14">
        <f t="shared" ref="W14:AA14" si="9">_xlfn.VAR.S(O7:O47)</f>
        <v>10.363621951219557</v>
      </c>
      <c r="X14">
        <f t="shared" si="9"/>
        <v>10.627256097560984</v>
      </c>
      <c r="Y14">
        <f t="shared" si="9"/>
        <v>10.400512195121996</v>
      </c>
      <c r="Z14">
        <f t="shared" si="9"/>
        <v>12.70121951219512</v>
      </c>
      <c r="AA14">
        <f t="shared" si="9"/>
        <v>8.5219512195121947</v>
      </c>
      <c r="AC14" t="s">
        <v>55</v>
      </c>
      <c r="AP14" s="4">
        <v>1</v>
      </c>
      <c r="AQ14" s="5">
        <v>0</v>
      </c>
      <c r="AR14">
        <f t="shared" si="2"/>
        <v>1</v>
      </c>
    </row>
    <row r="15" spans="1:47" x14ac:dyDescent="0.25">
      <c r="A15" s="6">
        <v>9</v>
      </c>
      <c r="B15" s="6" t="s">
        <v>30</v>
      </c>
      <c r="C15" s="3">
        <v>16.8</v>
      </c>
      <c r="D15" s="5">
        <v>18.100000000000001</v>
      </c>
      <c r="E15" s="3">
        <v>8.1999999999999993</v>
      </c>
      <c r="F15" s="5">
        <v>9.4</v>
      </c>
      <c r="G15" s="4">
        <v>13</v>
      </c>
      <c r="H15" s="4">
        <v>1</v>
      </c>
      <c r="I15" s="78">
        <v>1</v>
      </c>
      <c r="J15" s="5">
        <v>0</v>
      </c>
      <c r="N15" s="3">
        <v>16.8</v>
      </c>
      <c r="O15" s="5">
        <v>18.100000000000001</v>
      </c>
      <c r="P15" s="3">
        <v>8.1999999999999993</v>
      </c>
      <c r="Q15" s="5">
        <v>9.4</v>
      </c>
      <c r="R15" s="4">
        <v>13</v>
      </c>
      <c r="S15" s="78">
        <v>1</v>
      </c>
      <c r="U15" t="s">
        <v>56</v>
      </c>
      <c r="V15">
        <f>KURT(N7:N47)</f>
        <v>0.44205435694264139</v>
      </c>
      <c r="W15">
        <f t="shared" ref="W15:AA15" si="10">KURT(O7:O47)</f>
        <v>0.91978705468125854</v>
      </c>
      <c r="X15">
        <f t="shared" si="10"/>
        <v>-0.64223051441663159</v>
      </c>
      <c r="Y15">
        <f t="shared" si="10"/>
        <v>-0.89213682105879588</v>
      </c>
      <c r="Z15">
        <f t="shared" si="10"/>
        <v>-1.3012344111302441</v>
      </c>
      <c r="AA15">
        <f t="shared" si="10"/>
        <v>0.33775200728173038</v>
      </c>
      <c r="AP15" s="4">
        <v>1</v>
      </c>
      <c r="AQ15" s="5">
        <v>0</v>
      </c>
      <c r="AR15">
        <f t="shared" si="2"/>
        <v>1</v>
      </c>
      <c r="AT15" t="s">
        <v>42</v>
      </c>
    </row>
    <row r="16" spans="1:47" x14ac:dyDescent="0.25">
      <c r="A16" s="6">
        <v>10</v>
      </c>
      <c r="B16" s="6" t="s">
        <v>30</v>
      </c>
      <c r="C16" s="3">
        <v>16.2</v>
      </c>
      <c r="D16" s="5">
        <v>23.8</v>
      </c>
      <c r="E16" s="3">
        <v>7.9</v>
      </c>
      <c r="F16" s="5">
        <v>15</v>
      </c>
      <c r="G16" s="4">
        <v>19</v>
      </c>
      <c r="H16" s="4">
        <v>1</v>
      </c>
      <c r="I16" s="78">
        <v>0</v>
      </c>
      <c r="J16" s="5">
        <v>0</v>
      </c>
      <c r="N16" s="3">
        <v>16.2</v>
      </c>
      <c r="O16" s="5">
        <v>23.8</v>
      </c>
      <c r="P16" s="3">
        <v>7.9</v>
      </c>
      <c r="Q16" s="5">
        <v>15</v>
      </c>
      <c r="R16" s="4">
        <v>19</v>
      </c>
      <c r="S16" s="78">
        <v>0</v>
      </c>
      <c r="U16" t="s">
        <v>57</v>
      </c>
      <c r="V16">
        <f>SKEW(N7:N47)</f>
        <v>-0.75259235870897434</v>
      </c>
      <c r="W16">
        <f t="shared" ref="W16:AA16" si="11">SKEW(O7:O47)</f>
        <v>0.25552288191190209</v>
      </c>
      <c r="X16">
        <f t="shared" si="11"/>
        <v>0.5329521249643715</v>
      </c>
      <c r="Y16">
        <f t="shared" si="11"/>
        <v>0.23673937091745476</v>
      </c>
      <c r="Z16">
        <f t="shared" si="11"/>
        <v>-0.21059573874670814</v>
      </c>
      <c r="AA16">
        <f t="shared" si="11"/>
        <v>1.2037695933966452</v>
      </c>
      <c r="AC16" s="22" t="s">
        <v>58</v>
      </c>
      <c r="AD16" s="22">
        <f>[1]!DAGOSTINO(N7:N47)</f>
        <v>4.6621652193183767</v>
      </c>
      <c r="AE16" s="22">
        <f>[1]!DAGOSTINO(O7:O47)</f>
        <v>2.1841512593513466</v>
      </c>
      <c r="AF16" s="22">
        <f>[1]!DAGOSTINO(P7:P47)</f>
        <v>3.162856031025798</v>
      </c>
      <c r="AG16" s="22">
        <f>[1]!DAGOSTINO(Q7:Q47)</f>
        <v>3.4006658184462886</v>
      </c>
      <c r="AH16" s="22">
        <f>[1]!DAGOSTINO(R7:R47)</f>
        <v>12.654088198414064</v>
      </c>
      <c r="AI16" s="22">
        <f>[1]!DAGOSTINO(S7:S47)</f>
        <v>9.2185564052808093</v>
      </c>
      <c r="AP16" s="4">
        <v>1</v>
      </c>
      <c r="AQ16" s="5">
        <v>0</v>
      </c>
      <c r="AR16">
        <f t="shared" si="2"/>
        <v>1</v>
      </c>
    </row>
    <row r="17" spans="1:47" x14ac:dyDescent="0.25">
      <c r="A17" s="6">
        <v>11</v>
      </c>
      <c r="B17" s="6" t="s">
        <v>30</v>
      </c>
      <c r="C17" s="3">
        <v>17.8</v>
      </c>
      <c r="D17" s="5">
        <v>19.3</v>
      </c>
      <c r="E17" s="3">
        <v>10</v>
      </c>
      <c r="F17" s="5">
        <v>11.1</v>
      </c>
      <c r="G17" s="4">
        <v>14</v>
      </c>
      <c r="H17" s="4">
        <v>1</v>
      </c>
      <c r="I17" s="78">
        <v>0</v>
      </c>
      <c r="J17" s="5">
        <v>0</v>
      </c>
      <c r="N17" s="3">
        <v>17.8</v>
      </c>
      <c r="O17" s="5">
        <v>19.3</v>
      </c>
      <c r="P17" s="3">
        <v>10</v>
      </c>
      <c r="Q17" s="5">
        <v>11.1</v>
      </c>
      <c r="R17" s="4">
        <v>14</v>
      </c>
      <c r="S17" s="78">
        <v>0</v>
      </c>
      <c r="U17" t="s">
        <v>59</v>
      </c>
      <c r="V17">
        <f>V18-V19</f>
        <v>13.5</v>
      </c>
      <c r="W17">
        <f t="shared" ref="W17:AA17" si="12">W18-W19</f>
        <v>16.399999999999999</v>
      </c>
      <c r="X17">
        <f t="shared" si="12"/>
        <v>11.8</v>
      </c>
      <c r="Y17">
        <f t="shared" si="12"/>
        <v>13.3</v>
      </c>
      <c r="Z17">
        <f t="shared" si="12"/>
        <v>11</v>
      </c>
      <c r="AA17">
        <f t="shared" si="12"/>
        <v>10</v>
      </c>
      <c r="AC17" t="s">
        <v>23</v>
      </c>
      <c r="AD17">
        <f>[1]!DPTEST(N7:N47)</f>
        <v>9.7190470770797788E-2</v>
      </c>
      <c r="AE17">
        <f>[1]!DPTEST(O7:O47)</f>
        <v>0.33551935652454268</v>
      </c>
      <c r="AF17">
        <f>[1]!DPTEST(P7:P47)</f>
        <v>0.20568117248456863</v>
      </c>
      <c r="AG17">
        <f>[1]!DPTEST(Q7:Q47)</f>
        <v>0.18262271714481282</v>
      </c>
      <c r="AH17">
        <f>[1]!DPTEST(R7:R47)</f>
        <v>1.7873090769349176E-3</v>
      </c>
      <c r="AI17">
        <f>[1]!DPTEST(S7:S47)</f>
        <v>9.9590040970560789E-3</v>
      </c>
      <c r="AP17" s="4">
        <v>1</v>
      </c>
      <c r="AQ17" s="5">
        <v>0</v>
      </c>
      <c r="AR17">
        <f t="shared" si="2"/>
        <v>1</v>
      </c>
      <c r="AT17" t="str">
        <f>AP6</f>
        <v>PUNTAJE</v>
      </c>
      <c r="AU17" t="str">
        <f>AQ6</f>
        <v>PUNTAJE</v>
      </c>
    </row>
    <row r="18" spans="1:47" x14ac:dyDescent="0.25">
      <c r="A18" s="6">
        <v>12</v>
      </c>
      <c r="B18" s="6" t="s">
        <v>35</v>
      </c>
      <c r="C18" s="3">
        <v>15.2</v>
      </c>
      <c r="D18" s="5">
        <v>26.9</v>
      </c>
      <c r="E18" s="3">
        <v>5.2</v>
      </c>
      <c r="F18" s="5">
        <v>12.3</v>
      </c>
      <c r="G18" s="4">
        <v>13</v>
      </c>
      <c r="H18" s="4">
        <v>1</v>
      </c>
      <c r="I18" s="78">
        <v>0</v>
      </c>
      <c r="J18" s="5">
        <v>0</v>
      </c>
      <c r="N18" s="3">
        <v>15.2</v>
      </c>
      <c r="O18" s="5">
        <v>26.9</v>
      </c>
      <c r="P18" s="3">
        <v>5.2</v>
      </c>
      <c r="Q18" s="5">
        <v>12.3</v>
      </c>
      <c r="R18" s="4">
        <v>13</v>
      </c>
      <c r="S18" s="78">
        <v>0</v>
      </c>
      <c r="U18" t="s">
        <v>8</v>
      </c>
      <c r="V18">
        <f>MAX(N7:N47)</f>
        <v>19.5</v>
      </c>
      <c r="W18">
        <f t="shared" ref="W18:AA18" si="13">MAX(O7:O47)</f>
        <v>26.9</v>
      </c>
      <c r="X18">
        <f t="shared" si="13"/>
        <v>17</v>
      </c>
      <c r="Y18">
        <f t="shared" si="13"/>
        <v>19.3</v>
      </c>
      <c r="Z18">
        <f t="shared" si="13"/>
        <v>21</v>
      </c>
      <c r="AA18">
        <f t="shared" si="13"/>
        <v>10</v>
      </c>
      <c r="AC18" t="s">
        <v>50</v>
      </c>
      <c r="AD18">
        <v>0.05</v>
      </c>
      <c r="AE18">
        <v>0.05</v>
      </c>
      <c r="AF18">
        <v>0.05</v>
      </c>
      <c r="AG18">
        <v>0.05</v>
      </c>
      <c r="AH18">
        <v>0.05</v>
      </c>
      <c r="AI18">
        <v>0.05</v>
      </c>
      <c r="AP18" s="4">
        <v>1</v>
      </c>
      <c r="AQ18" s="5">
        <v>0</v>
      </c>
      <c r="AR18">
        <f t="shared" si="2"/>
        <v>1</v>
      </c>
      <c r="AT18" s="42">
        <f t="array" ref="AT18:AU18">[1]!QRATIO(AP7:AR47)</f>
        <v>1</v>
      </c>
      <c r="AU18" s="43">
        <v>0.17777777777777778</v>
      </c>
    </row>
    <row r="19" spans="1:47" x14ac:dyDescent="0.25">
      <c r="A19" s="6">
        <v>13</v>
      </c>
      <c r="B19" s="6" t="s">
        <v>30</v>
      </c>
      <c r="C19" s="3">
        <v>15.7</v>
      </c>
      <c r="D19" s="5">
        <v>17.399999999999999</v>
      </c>
      <c r="E19" s="3">
        <v>5.6</v>
      </c>
      <c r="F19" s="5">
        <v>9.9</v>
      </c>
      <c r="G19" s="80">
        <v>12</v>
      </c>
      <c r="H19" s="4">
        <v>1</v>
      </c>
      <c r="I19" s="78">
        <v>0</v>
      </c>
      <c r="J19" s="5">
        <v>0</v>
      </c>
      <c r="N19" s="3">
        <v>15.7</v>
      </c>
      <c r="O19" s="5">
        <v>17.399999999999999</v>
      </c>
      <c r="P19" s="3">
        <v>5.6</v>
      </c>
      <c r="Q19" s="5">
        <v>9.9</v>
      </c>
      <c r="R19" s="80">
        <v>12</v>
      </c>
      <c r="S19" s="78">
        <v>0</v>
      </c>
      <c r="U19" t="s">
        <v>9</v>
      </c>
      <c r="V19">
        <f>MIN(N7:N47)</f>
        <v>6</v>
      </c>
      <c r="W19">
        <f t="shared" ref="W19:AA19" si="14">MIN(O7:O47)</f>
        <v>10.5</v>
      </c>
      <c r="X19">
        <f t="shared" si="14"/>
        <v>5.2</v>
      </c>
      <c r="Y19">
        <f t="shared" si="14"/>
        <v>6</v>
      </c>
      <c r="Z19">
        <f t="shared" si="14"/>
        <v>10</v>
      </c>
      <c r="AA19">
        <f t="shared" si="14"/>
        <v>0</v>
      </c>
      <c r="AC19" s="19" t="s">
        <v>52</v>
      </c>
      <c r="AD19" s="21" t="str">
        <f>IF(AD17&lt;AD18,"no","yes")</f>
        <v>yes</v>
      </c>
      <c r="AE19" s="21" t="str">
        <f t="shared" ref="AE19:AI19" si="15">IF(AE17&lt;AE18,"no","yes")</f>
        <v>yes</v>
      </c>
      <c r="AF19" s="21" t="str">
        <f t="shared" si="15"/>
        <v>yes</v>
      </c>
      <c r="AG19" s="21" t="str">
        <f t="shared" si="15"/>
        <v>yes</v>
      </c>
      <c r="AH19" s="21" t="str">
        <f t="shared" si="15"/>
        <v>no</v>
      </c>
      <c r="AI19" s="21" t="str">
        <f t="shared" si="15"/>
        <v>no</v>
      </c>
      <c r="AP19" s="4">
        <v>1</v>
      </c>
      <c r="AQ19" s="5">
        <v>0</v>
      </c>
      <c r="AR19">
        <f t="shared" si="2"/>
        <v>1</v>
      </c>
    </row>
    <row r="20" spans="1:47" x14ac:dyDescent="0.25">
      <c r="A20" s="6">
        <v>14</v>
      </c>
      <c r="B20" s="6" t="s">
        <v>30</v>
      </c>
      <c r="C20" s="3">
        <v>16.600000000000001</v>
      </c>
      <c r="D20" s="5">
        <v>17.899999999999999</v>
      </c>
      <c r="E20" s="3">
        <v>8.3000000000000007</v>
      </c>
      <c r="F20" s="5">
        <v>9.1</v>
      </c>
      <c r="G20" s="80">
        <v>12</v>
      </c>
      <c r="H20" s="4">
        <v>1</v>
      </c>
      <c r="I20" s="78">
        <v>0</v>
      </c>
      <c r="J20" s="5">
        <v>0</v>
      </c>
      <c r="N20" s="3">
        <v>16.600000000000001</v>
      </c>
      <c r="O20" s="5">
        <v>17.899999999999999</v>
      </c>
      <c r="P20" s="3">
        <v>8.3000000000000007</v>
      </c>
      <c r="Q20" s="5">
        <v>9.1</v>
      </c>
      <c r="R20" s="80">
        <v>12</v>
      </c>
      <c r="S20" s="78">
        <v>0</v>
      </c>
      <c r="U20" t="s">
        <v>60</v>
      </c>
      <c r="V20">
        <f>SUM(N7:N47)</f>
        <v>593.00000000000011</v>
      </c>
      <c r="W20">
        <f t="shared" ref="W20:AA20" si="16">SUM(O7:O47)</f>
        <v>718.69999999999993</v>
      </c>
      <c r="X20">
        <f t="shared" si="16"/>
        <v>425.5</v>
      </c>
      <c r="Y20">
        <f t="shared" si="16"/>
        <v>521.79999999999995</v>
      </c>
      <c r="Z20">
        <f t="shared" si="16"/>
        <v>667</v>
      </c>
      <c r="AA20">
        <f t="shared" si="16"/>
        <v>95</v>
      </c>
      <c r="AP20" s="4">
        <v>1</v>
      </c>
      <c r="AQ20" s="5">
        <v>0</v>
      </c>
      <c r="AR20">
        <f t="shared" si="2"/>
        <v>1</v>
      </c>
    </row>
    <row r="21" spans="1:47" x14ac:dyDescent="0.25">
      <c r="A21" s="6">
        <v>15</v>
      </c>
      <c r="B21" s="6" t="s">
        <v>35</v>
      </c>
      <c r="C21" s="3">
        <v>12.3</v>
      </c>
      <c r="D21" s="5">
        <v>18.5</v>
      </c>
      <c r="E21" s="3">
        <v>5.8</v>
      </c>
      <c r="F21" s="5">
        <v>13.2</v>
      </c>
      <c r="G21" s="4">
        <v>21</v>
      </c>
      <c r="H21" s="4">
        <v>1</v>
      </c>
      <c r="I21" s="78">
        <v>1</v>
      </c>
      <c r="J21" s="5">
        <v>0</v>
      </c>
      <c r="N21" s="3">
        <v>12.3</v>
      </c>
      <c r="O21" s="5">
        <v>18.5</v>
      </c>
      <c r="P21" s="3">
        <v>5.8</v>
      </c>
      <c r="Q21" s="5">
        <v>13.2</v>
      </c>
      <c r="R21" s="4">
        <v>21</v>
      </c>
      <c r="S21" s="78">
        <v>1</v>
      </c>
      <c r="U21" t="s">
        <v>61</v>
      </c>
      <c r="V21">
        <f>COUNT(N7:N47)</f>
        <v>41</v>
      </c>
      <c r="W21">
        <f t="shared" ref="W21:AA21" si="17">COUNT(O7:O47)</f>
        <v>41</v>
      </c>
      <c r="X21">
        <f t="shared" si="17"/>
        <v>41</v>
      </c>
      <c r="Y21">
        <f t="shared" si="17"/>
        <v>41</v>
      </c>
      <c r="Z21">
        <f t="shared" si="17"/>
        <v>41</v>
      </c>
      <c r="AA21">
        <f t="shared" si="17"/>
        <v>41</v>
      </c>
      <c r="AP21" s="4">
        <v>1</v>
      </c>
      <c r="AQ21" s="5">
        <v>0</v>
      </c>
      <c r="AR21">
        <f t="shared" si="2"/>
        <v>1</v>
      </c>
    </row>
    <row r="22" spans="1:47" x14ac:dyDescent="0.25">
      <c r="A22" s="6">
        <v>16</v>
      </c>
      <c r="B22" s="6" t="s">
        <v>35</v>
      </c>
      <c r="C22" s="3">
        <v>15.9</v>
      </c>
      <c r="D22" s="5">
        <v>15.8</v>
      </c>
      <c r="E22" s="3">
        <v>8.8000000000000007</v>
      </c>
      <c r="F22" s="5">
        <v>9.5</v>
      </c>
      <c r="G22" s="4">
        <v>21</v>
      </c>
      <c r="H22" s="4">
        <v>1</v>
      </c>
      <c r="I22" s="78">
        <v>5</v>
      </c>
      <c r="J22" s="5">
        <v>0</v>
      </c>
      <c r="N22" s="3">
        <v>15.9</v>
      </c>
      <c r="O22" s="5">
        <v>15.8</v>
      </c>
      <c r="P22" s="3">
        <v>8.8000000000000007</v>
      </c>
      <c r="Q22" s="5">
        <v>9.5</v>
      </c>
      <c r="R22" s="4">
        <v>21</v>
      </c>
      <c r="S22" s="78">
        <v>5</v>
      </c>
      <c r="U22" t="s">
        <v>62</v>
      </c>
      <c r="V22">
        <f>GEOMEAN(N7:N47)</f>
        <v>14.10942486587858</v>
      </c>
      <c r="W22">
        <f t="shared" ref="W22:AA22" si="18">GEOMEAN(O7:O47)</f>
        <v>17.235252731934988</v>
      </c>
      <c r="X22">
        <f t="shared" si="18"/>
        <v>9.8932107637408855</v>
      </c>
      <c r="Y22">
        <f t="shared" si="18"/>
        <v>12.322206249999988</v>
      </c>
      <c r="Z22">
        <f t="shared" si="18"/>
        <v>15.863381973153377</v>
      </c>
      <c r="AA22" t="e">
        <f t="shared" si="18"/>
        <v>#NUM!</v>
      </c>
      <c r="AP22" s="4">
        <v>1</v>
      </c>
      <c r="AQ22" s="5">
        <v>0</v>
      </c>
      <c r="AR22">
        <f t="shared" si="2"/>
        <v>1</v>
      </c>
    </row>
    <row r="23" spans="1:47" x14ac:dyDescent="0.25">
      <c r="A23" s="6">
        <v>17</v>
      </c>
      <c r="B23" s="6" t="s">
        <v>30</v>
      </c>
      <c r="C23" s="3">
        <v>16.8</v>
      </c>
      <c r="D23" s="5">
        <v>18.8</v>
      </c>
      <c r="E23" s="3">
        <v>10.4</v>
      </c>
      <c r="F23" s="5">
        <v>13.8</v>
      </c>
      <c r="G23" s="4">
        <v>13</v>
      </c>
      <c r="H23" s="4">
        <v>1</v>
      </c>
      <c r="I23" s="78">
        <v>0</v>
      </c>
      <c r="J23" s="5">
        <v>0</v>
      </c>
      <c r="N23" s="3">
        <v>16.8</v>
      </c>
      <c r="O23" s="5">
        <v>18.8</v>
      </c>
      <c r="P23" s="3">
        <v>10.4</v>
      </c>
      <c r="Q23" s="5">
        <v>13.8</v>
      </c>
      <c r="R23" s="4">
        <v>13</v>
      </c>
      <c r="S23" s="78">
        <v>0</v>
      </c>
      <c r="U23" t="s">
        <v>63</v>
      </c>
      <c r="V23">
        <f>HARMEAN(N7:N47)</f>
        <v>13.678083392129659</v>
      </c>
      <c r="W23">
        <f t="shared" ref="W23:AA23" si="19">HARMEAN(O7:O47)</f>
        <v>16.931347385773069</v>
      </c>
      <c r="X23">
        <f t="shared" si="19"/>
        <v>9.4295004192501342</v>
      </c>
      <c r="Y23">
        <f t="shared" si="19"/>
        <v>11.912719820178049</v>
      </c>
      <c r="Z23">
        <f t="shared" si="19"/>
        <v>15.440689723396089</v>
      </c>
      <c r="AA23" t="e">
        <f t="shared" si="19"/>
        <v>#NUM!</v>
      </c>
      <c r="AP23" s="4">
        <v>1</v>
      </c>
      <c r="AQ23" s="5">
        <v>0</v>
      </c>
      <c r="AR23">
        <f t="shared" si="2"/>
        <v>1</v>
      </c>
    </row>
    <row r="24" spans="1:47" x14ac:dyDescent="0.25">
      <c r="A24" s="6">
        <v>18</v>
      </c>
      <c r="B24" s="6" t="s">
        <v>30</v>
      </c>
      <c r="C24" s="3">
        <v>15.3</v>
      </c>
      <c r="D24" s="5">
        <v>17.399999999999999</v>
      </c>
      <c r="E24" s="3">
        <v>10.4</v>
      </c>
      <c r="F24" s="5">
        <v>11.3</v>
      </c>
      <c r="G24" s="80">
        <v>12</v>
      </c>
      <c r="H24" s="4">
        <v>1</v>
      </c>
      <c r="I24" s="78">
        <v>0</v>
      </c>
      <c r="J24" s="5">
        <v>0</v>
      </c>
      <c r="N24" s="3">
        <v>15.3</v>
      </c>
      <c r="O24" s="5">
        <v>17.399999999999999</v>
      </c>
      <c r="P24" s="3">
        <v>10.4</v>
      </c>
      <c r="Q24" s="5">
        <v>11.3</v>
      </c>
      <c r="R24" s="80">
        <v>12</v>
      </c>
      <c r="S24" s="78">
        <v>0</v>
      </c>
      <c r="U24" t="s">
        <v>64</v>
      </c>
      <c r="V24">
        <f>AVEDEV(N7:N47)</f>
        <v>2.3714455681142175</v>
      </c>
      <c r="W24">
        <f t="shared" ref="W24:AA24" si="20">AVEDEV(O7:O47)</f>
        <v>2.4641284949434872</v>
      </c>
      <c r="X24">
        <f t="shared" si="20"/>
        <v>2.6816180844735276</v>
      </c>
      <c r="Y24">
        <f t="shared" si="20"/>
        <v>2.767638310529446</v>
      </c>
      <c r="Z24">
        <f t="shared" si="20"/>
        <v>3.1171921475312314</v>
      </c>
      <c r="AA24">
        <f t="shared" si="20"/>
        <v>2.4176085663295663</v>
      </c>
      <c r="AP24" s="4">
        <v>1</v>
      </c>
      <c r="AQ24" s="5">
        <v>0</v>
      </c>
      <c r="AR24">
        <f t="shared" si="2"/>
        <v>1</v>
      </c>
    </row>
    <row r="25" spans="1:47" x14ac:dyDescent="0.25">
      <c r="A25" s="6">
        <v>19</v>
      </c>
      <c r="B25" s="6" t="s">
        <v>35</v>
      </c>
      <c r="C25" s="3">
        <v>13.7</v>
      </c>
      <c r="D25" s="5">
        <v>10.5</v>
      </c>
      <c r="E25" s="3">
        <v>8</v>
      </c>
      <c r="F25" s="5">
        <v>9.3000000000000007</v>
      </c>
      <c r="G25" s="4">
        <v>21</v>
      </c>
      <c r="H25" s="4">
        <v>1</v>
      </c>
      <c r="I25" s="78">
        <v>4</v>
      </c>
      <c r="J25" s="5">
        <v>0</v>
      </c>
      <c r="N25" s="3">
        <v>13.7</v>
      </c>
      <c r="O25" s="5">
        <v>10.5</v>
      </c>
      <c r="P25" s="3">
        <v>8</v>
      </c>
      <c r="Q25" s="5">
        <v>9.3000000000000007</v>
      </c>
      <c r="R25" s="4">
        <v>21</v>
      </c>
      <c r="S25" s="78">
        <v>4</v>
      </c>
      <c r="U25" t="s">
        <v>65</v>
      </c>
      <c r="V25">
        <f>[1]!MAD(N7:N47)</f>
        <v>1.5</v>
      </c>
      <c r="W25">
        <f>[1]!MAD(O7:O47)</f>
        <v>2</v>
      </c>
      <c r="X25">
        <f>[1]!MAD(P7:P47)</f>
        <v>1.8000000000000007</v>
      </c>
      <c r="Y25">
        <f>[1]!MAD(Q7:Q47)</f>
        <v>2.9000000000000004</v>
      </c>
      <c r="Z25">
        <f>[1]!MAD(R7:R47)</f>
        <v>3</v>
      </c>
      <c r="AA25">
        <f>[1]!MAD(S7:S47)</f>
        <v>1</v>
      </c>
      <c r="AP25" s="4">
        <v>1</v>
      </c>
      <c r="AQ25" s="5">
        <v>0</v>
      </c>
      <c r="AR25">
        <f t="shared" si="2"/>
        <v>1</v>
      </c>
    </row>
    <row r="26" spans="1:47" x14ac:dyDescent="0.25">
      <c r="A26" s="6">
        <v>20</v>
      </c>
      <c r="B26" s="6" t="s">
        <v>35</v>
      </c>
      <c r="C26" s="3">
        <v>13.6</v>
      </c>
      <c r="D26" s="5">
        <v>15.4</v>
      </c>
      <c r="E26" s="3">
        <v>17</v>
      </c>
      <c r="F26" s="5">
        <v>19.3</v>
      </c>
      <c r="G26" s="4">
        <v>19</v>
      </c>
      <c r="H26" s="4">
        <v>1</v>
      </c>
      <c r="I26" s="78">
        <v>1</v>
      </c>
      <c r="J26" s="5">
        <v>0</v>
      </c>
      <c r="N26" s="3">
        <v>13.6</v>
      </c>
      <c r="O26" s="5">
        <v>15.4</v>
      </c>
      <c r="P26" s="3">
        <v>17</v>
      </c>
      <c r="Q26" s="5">
        <v>19.3</v>
      </c>
      <c r="R26" s="4">
        <v>19</v>
      </c>
      <c r="S26" s="78">
        <v>1</v>
      </c>
      <c r="U26" s="19" t="s">
        <v>10</v>
      </c>
      <c r="V26" s="19">
        <f>[1]!IQR(N7:N47,FALSE)</f>
        <v>3.9000000000000004</v>
      </c>
      <c r="W26" s="19">
        <f>[1]!IQR(O7:O47,FALSE)</f>
        <v>4.0999999999999996</v>
      </c>
      <c r="X26" s="19">
        <f>[1]!IQR(P7:P47,FALSE)</f>
        <v>5.1999999999999993</v>
      </c>
      <c r="Y26" s="19">
        <f>[1]!IQR(Q7:Q47,FALSE)</f>
        <v>4.9000000000000004</v>
      </c>
      <c r="Z26" s="19">
        <f>[1]!IQR(R7:R47,FALSE)</f>
        <v>7</v>
      </c>
      <c r="AA26" s="19">
        <f>[1]!IQR(S7:S47,FALSE)</f>
        <v>4</v>
      </c>
      <c r="AP26" s="4">
        <v>1</v>
      </c>
      <c r="AQ26" s="5">
        <v>0</v>
      </c>
      <c r="AR26">
        <f t="shared" si="2"/>
        <v>1</v>
      </c>
    </row>
    <row r="27" spans="1:47" x14ac:dyDescent="0.25">
      <c r="A27" s="6">
        <v>21</v>
      </c>
      <c r="B27" s="6" t="s">
        <v>35</v>
      </c>
      <c r="C27" s="3">
        <v>14.8</v>
      </c>
      <c r="D27" s="5">
        <v>16.7</v>
      </c>
      <c r="E27" s="3">
        <v>7.9</v>
      </c>
      <c r="F27" s="5">
        <v>13.2</v>
      </c>
      <c r="G27" s="4">
        <v>20</v>
      </c>
      <c r="H27" s="4">
        <v>1</v>
      </c>
      <c r="I27" s="78">
        <v>9</v>
      </c>
      <c r="J27" s="5">
        <v>1</v>
      </c>
      <c r="N27" s="3">
        <v>14.8</v>
      </c>
      <c r="O27" s="5">
        <v>16.7</v>
      </c>
      <c r="P27" s="3">
        <v>7.9</v>
      </c>
      <c r="Q27" s="5">
        <v>13.2</v>
      </c>
      <c r="R27" s="4">
        <v>20</v>
      </c>
      <c r="S27" s="78">
        <v>9</v>
      </c>
      <c r="AP27" s="4">
        <v>1</v>
      </c>
      <c r="AQ27" s="5">
        <v>1</v>
      </c>
      <c r="AR27">
        <f t="shared" si="2"/>
        <v>2</v>
      </c>
    </row>
    <row r="28" spans="1:47" x14ac:dyDescent="0.25">
      <c r="A28" s="6">
        <v>22</v>
      </c>
      <c r="B28" s="6" t="s">
        <v>35</v>
      </c>
      <c r="C28" s="3">
        <v>9.1</v>
      </c>
      <c r="D28" s="5">
        <v>11.9</v>
      </c>
      <c r="E28" s="3">
        <v>8.8000000000000007</v>
      </c>
      <c r="F28" s="5">
        <v>9.1999999999999993</v>
      </c>
      <c r="G28" s="4">
        <v>20</v>
      </c>
      <c r="H28" s="4">
        <v>1</v>
      </c>
      <c r="I28" s="78">
        <v>8</v>
      </c>
      <c r="J28" s="5">
        <v>1</v>
      </c>
      <c r="N28" s="3">
        <v>9.1</v>
      </c>
      <c r="O28" s="5">
        <v>11.9</v>
      </c>
      <c r="P28" s="3">
        <v>8.8000000000000007</v>
      </c>
      <c r="Q28" s="5">
        <v>9.1999999999999993</v>
      </c>
      <c r="R28" s="4">
        <v>20</v>
      </c>
      <c r="S28" s="78">
        <v>8</v>
      </c>
      <c r="AP28" s="4">
        <v>1</v>
      </c>
      <c r="AQ28" s="5">
        <v>1</v>
      </c>
      <c r="AR28">
        <f t="shared" si="2"/>
        <v>2</v>
      </c>
    </row>
    <row r="29" spans="1:47" x14ac:dyDescent="0.25">
      <c r="A29" s="6">
        <v>23</v>
      </c>
      <c r="B29" s="6" t="s">
        <v>30</v>
      </c>
      <c r="C29" s="3">
        <v>18.899999999999999</v>
      </c>
      <c r="D29" s="5">
        <v>20</v>
      </c>
      <c r="E29" s="3">
        <v>16.5</v>
      </c>
      <c r="F29" s="5">
        <v>17.399999999999999</v>
      </c>
      <c r="G29" s="4">
        <v>13</v>
      </c>
      <c r="H29" s="4">
        <v>1</v>
      </c>
      <c r="I29" s="78">
        <v>1</v>
      </c>
      <c r="J29" s="5">
        <v>0</v>
      </c>
      <c r="N29" s="3">
        <v>18.899999999999999</v>
      </c>
      <c r="O29" s="5">
        <v>20</v>
      </c>
      <c r="P29" s="3">
        <v>16.5</v>
      </c>
      <c r="Q29" s="5">
        <v>17.399999999999999</v>
      </c>
      <c r="R29" s="4">
        <v>13</v>
      </c>
      <c r="S29" s="78">
        <v>1</v>
      </c>
      <c r="V29" t="s">
        <v>20</v>
      </c>
      <c r="W29" t="s">
        <v>28</v>
      </c>
      <c r="X29" t="s">
        <v>34</v>
      </c>
      <c r="Y29" t="s">
        <v>28</v>
      </c>
      <c r="Z29" t="s">
        <v>20</v>
      </c>
      <c r="AA29" t="s">
        <v>28</v>
      </c>
      <c r="AP29" s="4">
        <v>1</v>
      </c>
      <c r="AQ29" s="5">
        <v>0</v>
      </c>
      <c r="AR29">
        <f t="shared" si="2"/>
        <v>1</v>
      </c>
    </row>
    <row r="30" spans="1:47" x14ac:dyDescent="0.25">
      <c r="A30" s="6">
        <v>24</v>
      </c>
      <c r="B30" s="6" t="s">
        <v>35</v>
      </c>
      <c r="C30" s="3">
        <v>15.8</v>
      </c>
      <c r="D30" s="5">
        <v>19.7</v>
      </c>
      <c r="E30" s="3">
        <v>13.5</v>
      </c>
      <c r="F30" s="5">
        <v>16.7</v>
      </c>
      <c r="G30" s="80">
        <v>12</v>
      </c>
      <c r="H30" s="4">
        <v>1</v>
      </c>
      <c r="I30" s="78">
        <v>1</v>
      </c>
      <c r="J30" s="5">
        <v>0</v>
      </c>
      <c r="N30" s="3">
        <v>15.8</v>
      </c>
      <c r="O30" s="5">
        <v>19.7</v>
      </c>
      <c r="P30" s="3">
        <v>13.5</v>
      </c>
      <c r="Q30" s="5">
        <v>16.7</v>
      </c>
      <c r="R30" s="80">
        <v>12</v>
      </c>
      <c r="S30" s="78">
        <v>1</v>
      </c>
      <c r="U30" t="s">
        <v>61</v>
      </c>
      <c r="V30">
        <v>41</v>
      </c>
      <c r="W30">
        <v>41</v>
      </c>
      <c r="X30">
        <v>41</v>
      </c>
      <c r="Y30">
        <v>41</v>
      </c>
      <c r="Z30">
        <v>41</v>
      </c>
      <c r="AA30">
        <v>41</v>
      </c>
      <c r="AP30" s="4">
        <v>1</v>
      </c>
      <c r="AQ30" s="5">
        <v>0</v>
      </c>
      <c r="AR30">
        <f t="shared" si="2"/>
        <v>1</v>
      </c>
    </row>
    <row r="31" spans="1:47" x14ac:dyDescent="0.25">
      <c r="A31" s="6">
        <v>25</v>
      </c>
      <c r="B31" s="6" t="s">
        <v>30</v>
      </c>
      <c r="C31" s="3">
        <v>15.5</v>
      </c>
      <c r="D31" s="5">
        <v>17</v>
      </c>
      <c r="E31" s="3">
        <v>13.2</v>
      </c>
      <c r="F31" s="5">
        <v>14.8</v>
      </c>
      <c r="G31" s="4">
        <v>20</v>
      </c>
      <c r="H31" s="4">
        <v>1</v>
      </c>
      <c r="I31" s="78">
        <v>6</v>
      </c>
      <c r="J31" s="5">
        <v>0</v>
      </c>
      <c r="N31" s="3">
        <v>15.5</v>
      </c>
      <c r="O31" s="5">
        <v>17</v>
      </c>
      <c r="P31" s="3">
        <v>13.2</v>
      </c>
      <c r="Q31" s="5">
        <v>14.8</v>
      </c>
      <c r="R31" s="4">
        <v>20</v>
      </c>
      <c r="S31" s="78">
        <v>6</v>
      </c>
      <c r="U31" t="s">
        <v>5</v>
      </c>
      <c r="V31">
        <v>14.463414634146345</v>
      </c>
      <c r="W31">
        <v>17.529268292682925</v>
      </c>
      <c r="X31">
        <v>10.378048780487806</v>
      </c>
      <c r="Y31">
        <v>12.726829268292683</v>
      </c>
      <c r="Z31">
        <v>16.26829268292683</v>
      </c>
      <c r="AA31">
        <v>2.3170731707317072</v>
      </c>
      <c r="AP31" s="4">
        <v>1</v>
      </c>
      <c r="AQ31" s="5">
        <v>0</v>
      </c>
      <c r="AR31">
        <f t="shared" si="2"/>
        <v>1</v>
      </c>
    </row>
    <row r="32" spans="1:47" x14ac:dyDescent="0.25">
      <c r="A32" s="6">
        <v>26</v>
      </c>
      <c r="B32" s="6" t="s">
        <v>30</v>
      </c>
      <c r="C32" s="3">
        <v>19.5</v>
      </c>
      <c r="D32" s="5">
        <v>19.8</v>
      </c>
      <c r="E32" s="3">
        <v>16.899999999999999</v>
      </c>
      <c r="F32" s="5">
        <v>17.2</v>
      </c>
      <c r="G32" s="4">
        <v>16</v>
      </c>
      <c r="H32" s="4">
        <v>1</v>
      </c>
      <c r="I32" s="78">
        <v>3</v>
      </c>
      <c r="J32" s="5">
        <v>0</v>
      </c>
      <c r="N32" s="3">
        <v>19.5</v>
      </c>
      <c r="O32" s="5">
        <v>19.8</v>
      </c>
      <c r="P32" s="3">
        <v>16.899999999999999</v>
      </c>
      <c r="Q32" s="5">
        <v>17.2</v>
      </c>
      <c r="R32" s="4">
        <v>16</v>
      </c>
      <c r="S32" s="78">
        <v>3</v>
      </c>
      <c r="U32" t="s">
        <v>6</v>
      </c>
      <c r="V32">
        <v>0.46428224302655352</v>
      </c>
      <c r="W32">
        <v>0.50276362945515063</v>
      </c>
      <c r="X32">
        <v>0.50911822618444413</v>
      </c>
      <c r="Y32">
        <v>0.50365765074037838</v>
      </c>
      <c r="Z32">
        <v>0.55658408328019637</v>
      </c>
      <c r="AA32">
        <v>0.45590839953722079</v>
      </c>
      <c r="AP32" s="4">
        <v>1</v>
      </c>
      <c r="AQ32" s="5">
        <v>0</v>
      </c>
      <c r="AR32">
        <f t="shared" si="2"/>
        <v>1</v>
      </c>
    </row>
    <row r="33" spans="1:44" x14ac:dyDescent="0.25">
      <c r="A33" s="6">
        <v>27</v>
      </c>
      <c r="B33" s="6" t="s">
        <v>30</v>
      </c>
      <c r="C33" s="3">
        <v>19.100000000000001</v>
      </c>
      <c r="D33" s="5">
        <v>20.2</v>
      </c>
      <c r="E33" s="3">
        <v>16.2</v>
      </c>
      <c r="F33" s="5">
        <v>17.399999999999999</v>
      </c>
      <c r="G33" s="4">
        <v>14</v>
      </c>
      <c r="H33" s="4">
        <v>1</v>
      </c>
      <c r="I33" s="78">
        <v>1</v>
      </c>
      <c r="J33" s="5">
        <v>0</v>
      </c>
      <c r="N33" s="3">
        <v>19.100000000000001</v>
      </c>
      <c r="O33" s="5">
        <v>20.2</v>
      </c>
      <c r="P33" s="3">
        <v>16.2</v>
      </c>
      <c r="Q33" s="5">
        <v>17.399999999999999</v>
      </c>
      <c r="R33" s="4">
        <v>14</v>
      </c>
      <c r="S33" s="78">
        <v>1</v>
      </c>
      <c r="U33" t="s">
        <v>7</v>
      </c>
      <c r="V33">
        <v>15.3</v>
      </c>
      <c r="W33">
        <v>17.5</v>
      </c>
      <c r="X33">
        <v>9.4</v>
      </c>
      <c r="Y33">
        <v>13</v>
      </c>
      <c r="Z33">
        <v>16</v>
      </c>
      <c r="AA33">
        <v>1</v>
      </c>
      <c r="AP33" s="4">
        <v>1</v>
      </c>
      <c r="AQ33" s="5">
        <v>0</v>
      </c>
      <c r="AR33">
        <f t="shared" si="2"/>
        <v>1</v>
      </c>
    </row>
    <row r="34" spans="1:44" x14ac:dyDescent="0.25">
      <c r="A34" s="6">
        <v>28</v>
      </c>
      <c r="B34" s="6" t="s">
        <v>35</v>
      </c>
      <c r="C34" s="3">
        <v>17.600000000000001</v>
      </c>
      <c r="D34" s="5">
        <v>20.9</v>
      </c>
      <c r="E34" s="3">
        <v>15</v>
      </c>
      <c r="F34" s="5">
        <v>17.8</v>
      </c>
      <c r="G34" s="4">
        <v>15</v>
      </c>
      <c r="H34" s="4">
        <v>1</v>
      </c>
      <c r="I34" s="78">
        <v>2</v>
      </c>
      <c r="J34" s="5">
        <v>0</v>
      </c>
      <c r="N34" s="3">
        <v>17.600000000000001</v>
      </c>
      <c r="O34" s="5">
        <v>20.9</v>
      </c>
      <c r="P34" s="3">
        <v>15</v>
      </c>
      <c r="Q34" s="5">
        <v>17.8</v>
      </c>
      <c r="R34" s="4">
        <v>15</v>
      </c>
      <c r="S34" s="78">
        <v>2</v>
      </c>
      <c r="U34" t="s">
        <v>8</v>
      </c>
      <c r="V34">
        <v>19.5</v>
      </c>
      <c r="W34">
        <v>26.9</v>
      </c>
      <c r="X34">
        <v>17</v>
      </c>
      <c r="Y34">
        <v>19.3</v>
      </c>
      <c r="Z34">
        <v>21</v>
      </c>
      <c r="AA34">
        <v>10</v>
      </c>
      <c r="AP34" s="4">
        <v>1</v>
      </c>
      <c r="AQ34" s="5">
        <v>0</v>
      </c>
      <c r="AR34">
        <f t="shared" si="2"/>
        <v>1</v>
      </c>
    </row>
    <row r="35" spans="1:44" x14ac:dyDescent="0.25">
      <c r="A35" s="6">
        <v>29</v>
      </c>
      <c r="B35" s="6" t="s">
        <v>35</v>
      </c>
      <c r="C35" s="3">
        <v>14.8</v>
      </c>
      <c r="D35" s="5">
        <v>20.7</v>
      </c>
      <c r="E35" s="3">
        <v>12.8</v>
      </c>
      <c r="F35" s="5">
        <v>17.7</v>
      </c>
      <c r="G35" s="4">
        <v>18</v>
      </c>
      <c r="H35" s="4">
        <v>1</v>
      </c>
      <c r="I35" s="78">
        <v>1</v>
      </c>
      <c r="J35" s="5">
        <v>0</v>
      </c>
      <c r="N35" s="3">
        <v>14.8</v>
      </c>
      <c r="O35" s="5">
        <v>20.7</v>
      </c>
      <c r="P35" s="3">
        <v>12.8</v>
      </c>
      <c r="Q35" s="5">
        <v>17.7</v>
      </c>
      <c r="R35" s="4">
        <v>18</v>
      </c>
      <c r="S35" s="78">
        <v>1</v>
      </c>
      <c r="U35" t="s">
        <v>9</v>
      </c>
      <c r="V35">
        <v>6</v>
      </c>
      <c r="W35">
        <v>10.5</v>
      </c>
      <c r="X35">
        <v>5.2</v>
      </c>
      <c r="Y35">
        <v>6</v>
      </c>
      <c r="Z35">
        <v>10</v>
      </c>
      <c r="AA35">
        <v>0</v>
      </c>
      <c r="AP35" s="4">
        <v>1</v>
      </c>
      <c r="AQ35" s="5">
        <v>0</v>
      </c>
      <c r="AR35">
        <f t="shared" si="2"/>
        <v>1</v>
      </c>
    </row>
    <row r="36" spans="1:44" x14ac:dyDescent="0.25">
      <c r="A36" s="6">
        <v>30</v>
      </c>
      <c r="B36" s="6" t="s">
        <v>30</v>
      </c>
      <c r="C36" s="3">
        <v>16.5</v>
      </c>
      <c r="D36" s="5">
        <v>17.600000000000001</v>
      </c>
      <c r="E36" s="3">
        <v>14.4</v>
      </c>
      <c r="F36" s="5">
        <v>15.5</v>
      </c>
      <c r="G36" s="4">
        <v>20</v>
      </c>
      <c r="H36" s="4">
        <v>1</v>
      </c>
      <c r="I36" s="78">
        <v>8</v>
      </c>
      <c r="J36" s="5">
        <v>1</v>
      </c>
      <c r="N36" s="3">
        <v>16.5</v>
      </c>
      <c r="O36" s="5">
        <v>17.600000000000001</v>
      </c>
      <c r="P36" s="3">
        <v>14.4</v>
      </c>
      <c r="Q36" s="5">
        <v>15.5</v>
      </c>
      <c r="R36" s="4">
        <v>20</v>
      </c>
      <c r="S36" s="78">
        <v>8</v>
      </c>
      <c r="U36" t="s">
        <v>10</v>
      </c>
      <c r="V36">
        <v>3.9000000000000004</v>
      </c>
      <c r="W36">
        <v>4.0999999999999996</v>
      </c>
      <c r="X36">
        <v>5.1999999999999993</v>
      </c>
      <c r="Y36">
        <v>4.9000000000000004</v>
      </c>
      <c r="Z36">
        <v>7</v>
      </c>
      <c r="AA36">
        <v>4</v>
      </c>
      <c r="AP36" s="4">
        <v>1</v>
      </c>
      <c r="AQ36" s="5">
        <v>1</v>
      </c>
      <c r="AR36">
        <f t="shared" si="2"/>
        <v>2</v>
      </c>
    </row>
    <row r="37" spans="1:44" x14ac:dyDescent="0.25">
      <c r="A37" s="6">
        <v>31</v>
      </c>
      <c r="B37" s="6" t="s">
        <v>30</v>
      </c>
      <c r="C37" s="3">
        <v>15.5</v>
      </c>
      <c r="D37" s="5">
        <v>16.8</v>
      </c>
      <c r="E37" s="3">
        <v>13.5</v>
      </c>
      <c r="F37" s="5">
        <v>14.6</v>
      </c>
      <c r="G37" s="80">
        <v>12</v>
      </c>
      <c r="H37" s="4">
        <v>1</v>
      </c>
      <c r="I37" s="78">
        <v>0</v>
      </c>
      <c r="J37" s="5">
        <v>0</v>
      </c>
      <c r="N37" s="3">
        <v>15.5</v>
      </c>
      <c r="O37" s="5">
        <v>16.8</v>
      </c>
      <c r="P37" s="3">
        <v>13.5</v>
      </c>
      <c r="Q37" s="5">
        <v>14.6</v>
      </c>
      <c r="R37" s="80">
        <v>12</v>
      </c>
      <c r="S37" s="78">
        <v>0</v>
      </c>
      <c r="V37">
        <v>9.7190470770797788E-2</v>
      </c>
      <c r="W37">
        <v>0.33551935652454268</v>
      </c>
      <c r="X37">
        <v>0.20568117248456863</v>
      </c>
      <c r="Y37">
        <v>0.18262271714481282</v>
      </c>
      <c r="Z37">
        <v>1.7873090769349176E-3</v>
      </c>
      <c r="AA37">
        <v>9.9590040970560789E-3</v>
      </c>
      <c r="AP37" s="4">
        <v>1</v>
      </c>
      <c r="AQ37" s="5">
        <v>0</v>
      </c>
      <c r="AR37">
        <f t="shared" si="2"/>
        <v>1</v>
      </c>
    </row>
    <row r="38" spans="1:44" x14ac:dyDescent="0.25">
      <c r="A38" s="6">
        <v>32</v>
      </c>
      <c r="B38" s="6" t="s">
        <v>30</v>
      </c>
      <c r="C38" s="3">
        <v>16.399999999999999</v>
      </c>
      <c r="D38" s="5">
        <v>20.399999999999999</v>
      </c>
      <c r="E38" s="3">
        <v>13.8</v>
      </c>
      <c r="F38" s="5">
        <v>17.2</v>
      </c>
      <c r="G38" s="4">
        <v>15</v>
      </c>
      <c r="H38" s="4">
        <v>1</v>
      </c>
      <c r="I38" s="78">
        <v>0</v>
      </c>
      <c r="J38" s="5">
        <v>0</v>
      </c>
      <c r="N38" s="3">
        <v>16.399999999999999</v>
      </c>
      <c r="O38" s="5">
        <v>20.399999999999999</v>
      </c>
      <c r="P38" s="3">
        <v>13.8</v>
      </c>
      <c r="Q38" s="5">
        <v>17.2</v>
      </c>
      <c r="R38" s="4">
        <v>15</v>
      </c>
      <c r="S38" s="78">
        <v>0</v>
      </c>
      <c r="AP38" s="4">
        <v>1</v>
      </c>
      <c r="AQ38" s="5">
        <v>0</v>
      </c>
      <c r="AR38">
        <f t="shared" si="2"/>
        <v>1</v>
      </c>
    </row>
    <row r="39" spans="1:44" x14ac:dyDescent="0.25">
      <c r="A39" s="6">
        <v>33</v>
      </c>
      <c r="B39" s="6" t="s">
        <v>30</v>
      </c>
      <c r="C39" s="3">
        <v>15.8</v>
      </c>
      <c r="D39" s="5">
        <v>17.5</v>
      </c>
      <c r="E39" s="3">
        <v>13.4</v>
      </c>
      <c r="F39" s="5">
        <v>14.9</v>
      </c>
      <c r="G39" s="4">
        <v>18</v>
      </c>
      <c r="H39" s="4">
        <v>1</v>
      </c>
      <c r="I39" s="78">
        <v>0</v>
      </c>
      <c r="J39" s="5">
        <v>0</v>
      </c>
      <c r="N39" s="3">
        <v>15.8</v>
      </c>
      <c r="O39" s="5">
        <v>17.5</v>
      </c>
      <c r="P39" s="3">
        <v>13.4</v>
      </c>
      <c r="Q39" s="5">
        <v>14.9</v>
      </c>
      <c r="R39" s="4">
        <v>18</v>
      </c>
      <c r="S39" s="78">
        <v>0</v>
      </c>
      <c r="AP39" s="4">
        <v>1</v>
      </c>
      <c r="AQ39" s="5">
        <v>0</v>
      </c>
      <c r="AR39">
        <f t="shared" si="2"/>
        <v>1</v>
      </c>
    </row>
    <row r="40" spans="1:44" x14ac:dyDescent="0.25">
      <c r="A40" s="6">
        <v>34</v>
      </c>
      <c r="B40" s="6" t="s">
        <v>30</v>
      </c>
      <c r="C40" s="3">
        <v>10</v>
      </c>
      <c r="D40" s="5">
        <v>15.5</v>
      </c>
      <c r="E40" s="3">
        <v>7</v>
      </c>
      <c r="F40" s="5">
        <v>13.3</v>
      </c>
      <c r="G40" s="4">
        <v>21</v>
      </c>
      <c r="H40" s="4">
        <v>1</v>
      </c>
      <c r="I40" s="78">
        <v>10</v>
      </c>
      <c r="J40" s="5">
        <v>1</v>
      </c>
      <c r="N40" s="3">
        <v>10</v>
      </c>
      <c r="O40" s="5">
        <v>15.5</v>
      </c>
      <c r="P40" s="3">
        <v>7</v>
      </c>
      <c r="Q40" s="5">
        <v>13.3</v>
      </c>
      <c r="R40" s="4">
        <v>21</v>
      </c>
      <c r="S40" s="78">
        <v>10</v>
      </c>
      <c r="V40">
        <v>41</v>
      </c>
      <c r="W40">
        <v>14.463414634146345</v>
      </c>
      <c r="X40">
        <v>0.46428224302655352</v>
      </c>
      <c r="Y40">
        <v>15.3</v>
      </c>
      <c r="Z40">
        <v>19.5</v>
      </c>
      <c r="AA40">
        <v>6</v>
      </c>
      <c r="AB40">
        <v>3.9000000000000004</v>
      </c>
      <c r="AC40">
        <v>9.7190470770797788E-2</v>
      </c>
      <c r="AP40" s="4">
        <v>1</v>
      </c>
      <c r="AQ40" s="5">
        <v>1</v>
      </c>
      <c r="AR40">
        <f t="shared" si="2"/>
        <v>2</v>
      </c>
    </row>
    <row r="41" spans="1:44" x14ac:dyDescent="0.25">
      <c r="A41" s="6">
        <v>35</v>
      </c>
      <c r="B41" s="6" t="s">
        <v>30</v>
      </c>
      <c r="C41" s="4">
        <v>16.600000000000001</v>
      </c>
      <c r="D41" s="5">
        <v>18.600000000000001</v>
      </c>
      <c r="E41" s="3">
        <v>11.8</v>
      </c>
      <c r="F41" s="5">
        <v>14.1</v>
      </c>
      <c r="G41" s="4">
        <v>20</v>
      </c>
      <c r="H41" s="4">
        <v>1</v>
      </c>
      <c r="I41" s="78">
        <v>5</v>
      </c>
      <c r="J41" s="5">
        <v>0</v>
      </c>
      <c r="N41" s="4">
        <v>16.600000000000001</v>
      </c>
      <c r="O41" s="5">
        <v>18.600000000000001</v>
      </c>
      <c r="P41" s="3">
        <v>11.8</v>
      </c>
      <c r="Q41" s="5">
        <v>14.1</v>
      </c>
      <c r="R41" s="4">
        <v>20</v>
      </c>
      <c r="S41" s="78">
        <v>5</v>
      </c>
      <c r="V41">
        <v>41</v>
      </c>
      <c r="W41">
        <v>17.529268292682925</v>
      </c>
      <c r="X41">
        <v>0.50276362945515063</v>
      </c>
      <c r="Y41">
        <v>17.5</v>
      </c>
      <c r="Z41">
        <v>26.9</v>
      </c>
      <c r="AA41">
        <v>10.5</v>
      </c>
      <c r="AB41">
        <v>4.0999999999999996</v>
      </c>
      <c r="AC41">
        <v>0.33551935652454268</v>
      </c>
      <c r="AP41" s="4">
        <v>1</v>
      </c>
      <c r="AQ41" s="5">
        <v>0</v>
      </c>
      <c r="AR41">
        <f t="shared" si="2"/>
        <v>1</v>
      </c>
    </row>
    <row r="42" spans="1:44" x14ac:dyDescent="0.25">
      <c r="A42" s="68">
        <v>36</v>
      </c>
      <c r="B42" s="68" t="s">
        <v>30</v>
      </c>
      <c r="C42" s="69">
        <v>14.5</v>
      </c>
      <c r="D42" s="70">
        <v>16</v>
      </c>
      <c r="E42" s="71">
        <v>10.199999999999999</v>
      </c>
      <c r="F42" s="70">
        <v>13.9</v>
      </c>
      <c r="G42" s="69">
        <v>20</v>
      </c>
      <c r="H42" s="69">
        <v>1</v>
      </c>
      <c r="I42" s="81">
        <v>0</v>
      </c>
      <c r="J42" s="70">
        <v>0</v>
      </c>
      <c r="N42" s="69">
        <v>14.5</v>
      </c>
      <c r="O42" s="70">
        <v>16</v>
      </c>
      <c r="P42" s="71">
        <v>10.199999999999999</v>
      </c>
      <c r="Q42" s="70">
        <v>13.9</v>
      </c>
      <c r="R42" s="69">
        <v>20</v>
      </c>
      <c r="S42" s="81">
        <v>0</v>
      </c>
      <c r="V42">
        <v>41</v>
      </c>
      <c r="W42">
        <v>10.378048780487806</v>
      </c>
      <c r="X42">
        <v>0.50911822618444413</v>
      </c>
      <c r="Y42">
        <v>9.4</v>
      </c>
      <c r="Z42">
        <v>17</v>
      </c>
      <c r="AA42">
        <v>5.2</v>
      </c>
      <c r="AB42">
        <v>5.1999999999999993</v>
      </c>
      <c r="AC42">
        <v>0.20568117248456863</v>
      </c>
      <c r="AP42" s="69">
        <v>1</v>
      </c>
      <c r="AQ42" s="70">
        <v>0</v>
      </c>
      <c r="AR42">
        <f t="shared" si="2"/>
        <v>1</v>
      </c>
    </row>
    <row r="43" spans="1:44" x14ac:dyDescent="0.25">
      <c r="A43" s="66">
        <v>37</v>
      </c>
      <c r="B43" s="66" t="s">
        <v>30</v>
      </c>
      <c r="C43" s="67">
        <v>10</v>
      </c>
      <c r="D43" s="74">
        <v>14</v>
      </c>
      <c r="E43" s="67">
        <v>9</v>
      </c>
      <c r="F43" s="74">
        <v>13</v>
      </c>
      <c r="G43" s="82">
        <v>10</v>
      </c>
      <c r="H43" s="82">
        <v>1</v>
      </c>
      <c r="I43" s="83">
        <v>5</v>
      </c>
      <c r="J43" s="74">
        <v>0</v>
      </c>
      <c r="N43" s="67">
        <v>10</v>
      </c>
      <c r="O43" s="74">
        <v>14</v>
      </c>
      <c r="P43" s="67">
        <v>9</v>
      </c>
      <c r="Q43" s="74">
        <v>13</v>
      </c>
      <c r="R43" s="82">
        <v>10</v>
      </c>
      <c r="S43" s="83">
        <v>5</v>
      </c>
      <c r="V43">
        <v>41</v>
      </c>
      <c r="W43">
        <v>12.726829268292683</v>
      </c>
      <c r="X43">
        <v>0.50365765074037838</v>
      </c>
      <c r="Y43">
        <v>13</v>
      </c>
      <c r="Z43">
        <v>19.3</v>
      </c>
      <c r="AA43">
        <v>6</v>
      </c>
      <c r="AB43">
        <v>4.9000000000000004</v>
      </c>
      <c r="AC43">
        <v>0.18262271714481282</v>
      </c>
      <c r="AP43" s="82">
        <v>1</v>
      </c>
      <c r="AQ43" s="74">
        <v>0</v>
      </c>
      <c r="AR43">
        <f t="shared" si="2"/>
        <v>1</v>
      </c>
    </row>
    <row r="44" spans="1:44" x14ac:dyDescent="0.25">
      <c r="A44" s="66">
        <v>38</v>
      </c>
      <c r="B44" s="66" t="s">
        <v>30</v>
      </c>
      <c r="C44" s="67">
        <v>9</v>
      </c>
      <c r="D44" s="74">
        <v>13</v>
      </c>
      <c r="E44" s="67">
        <v>9</v>
      </c>
      <c r="F44" s="74">
        <v>10</v>
      </c>
      <c r="G44" s="82">
        <v>10</v>
      </c>
      <c r="H44" s="82">
        <v>1</v>
      </c>
      <c r="I44" s="83">
        <v>5</v>
      </c>
      <c r="J44" s="74">
        <v>0</v>
      </c>
      <c r="N44" s="67">
        <v>9</v>
      </c>
      <c r="O44" s="74">
        <v>13</v>
      </c>
      <c r="P44" s="67">
        <v>9</v>
      </c>
      <c r="Q44" s="74">
        <v>10</v>
      </c>
      <c r="R44" s="82">
        <v>10</v>
      </c>
      <c r="S44" s="83">
        <v>5</v>
      </c>
      <c r="V44">
        <v>41</v>
      </c>
      <c r="W44">
        <v>16.26829268292683</v>
      </c>
      <c r="X44">
        <v>0.55658408328019637</v>
      </c>
      <c r="Y44">
        <v>16</v>
      </c>
      <c r="Z44">
        <v>21</v>
      </c>
      <c r="AA44">
        <v>10</v>
      </c>
      <c r="AB44">
        <v>7</v>
      </c>
      <c r="AC44">
        <v>1.7873090769349176E-3</v>
      </c>
      <c r="AP44" s="82">
        <v>1</v>
      </c>
      <c r="AQ44" s="74">
        <v>0</v>
      </c>
      <c r="AR44">
        <f t="shared" si="2"/>
        <v>1</v>
      </c>
    </row>
    <row r="45" spans="1:44" x14ac:dyDescent="0.25">
      <c r="A45" s="66">
        <v>39</v>
      </c>
      <c r="B45" s="66" t="s">
        <v>35</v>
      </c>
      <c r="C45" s="67">
        <v>11</v>
      </c>
      <c r="D45" s="74">
        <v>14</v>
      </c>
      <c r="E45" s="67">
        <v>8</v>
      </c>
      <c r="F45" s="74">
        <v>9</v>
      </c>
      <c r="G45" s="82">
        <v>19</v>
      </c>
      <c r="H45" s="82">
        <v>1</v>
      </c>
      <c r="I45" s="83">
        <v>7</v>
      </c>
      <c r="J45" s="74">
        <v>0</v>
      </c>
      <c r="N45" s="67">
        <v>11</v>
      </c>
      <c r="O45" s="74">
        <v>14</v>
      </c>
      <c r="P45" s="67">
        <v>8</v>
      </c>
      <c r="Q45" s="74">
        <v>9</v>
      </c>
      <c r="R45" s="82">
        <v>19</v>
      </c>
      <c r="S45" s="83">
        <v>7</v>
      </c>
      <c r="V45">
        <v>41</v>
      </c>
      <c r="W45">
        <v>2.3170731707317072</v>
      </c>
      <c r="X45">
        <v>0.45590839953722079</v>
      </c>
      <c r="Y45">
        <v>1</v>
      </c>
      <c r="Z45">
        <v>10</v>
      </c>
      <c r="AA45">
        <v>0</v>
      </c>
      <c r="AB45">
        <v>4</v>
      </c>
      <c r="AC45">
        <v>9.9590040970560789E-3</v>
      </c>
      <c r="AP45" s="82">
        <v>1</v>
      </c>
      <c r="AQ45" s="74">
        <v>0</v>
      </c>
      <c r="AR45">
        <f t="shared" si="2"/>
        <v>1</v>
      </c>
    </row>
    <row r="46" spans="1:44" x14ac:dyDescent="0.25">
      <c r="A46" s="73">
        <v>40</v>
      </c>
      <c r="B46" s="73" t="s">
        <v>35</v>
      </c>
      <c r="C46" s="76">
        <v>6</v>
      </c>
      <c r="D46" s="75">
        <v>12</v>
      </c>
      <c r="E46" s="76">
        <v>12</v>
      </c>
      <c r="F46" s="75">
        <v>14</v>
      </c>
      <c r="G46" s="84">
        <v>14</v>
      </c>
      <c r="H46" s="84">
        <v>1</v>
      </c>
      <c r="I46" s="85">
        <v>4</v>
      </c>
      <c r="J46" s="75">
        <v>0</v>
      </c>
      <c r="N46" s="76">
        <v>6</v>
      </c>
      <c r="O46" s="75">
        <v>12</v>
      </c>
      <c r="P46" s="76">
        <v>12</v>
      </c>
      <c r="Q46" s="75">
        <v>14</v>
      </c>
      <c r="R46" s="84">
        <v>14</v>
      </c>
      <c r="S46" s="85">
        <v>4</v>
      </c>
      <c r="AP46" s="84">
        <v>1</v>
      </c>
      <c r="AQ46" s="75">
        <v>0</v>
      </c>
      <c r="AR46">
        <f t="shared" si="2"/>
        <v>1</v>
      </c>
    </row>
    <row r="47" spans="1:44" x14ac:dyDescent="0.25">
      <c r="A47" s="66">
        <v>41</v>
      </c>
      <c r="B47" s="66" t="s">
        <v>30</v>
      </c>
      <c r="C47" s="67">
        <v>13</v>
      </c>
      <c r="D47" s="74">
        <v>15</v>
      </c>
      <c r="E47" s="67">
        <v>6</v>
      </c>
      <c r="F47" s="74">
        <v>6</v>
      </c>
      <c r="G47" s="82">
        <v>10</v>
      </c>
      <c r="H47" s="82">
        <v>1</v>
      </c>
      <c r="I47" s="83">
        <v>3</v>
      </c>
      <c r="J47" s="74">
        <v>0</v>
      </c>
      <c r="N47" s="67">
        <v>13</v>
      </c>
      <c r="O47" s="74">
        <v>15</v>
      </c>
      <c r="P47" s="67">
        <v>6</v>
      </c>
      <c r="Q47" s="74">
        <v>6</v>
      </c>
      <c r="R47" s="82">
        <v>10</v>
      </c>
      <c r="S47" s="83">
        <v>3</v>
      </c>
      <c r="AP47" s="82">
        <v>1</v>
      </c>
      <c r="AQ47" s="74">
        <v>0</v>
      </c>
      <c r="AR47">
        <f t="shared" si="2"/>
        <v>1</v>
      </c>
    </row>
    <row r="48" spans="1:44" x14ac:dyDescent="0.25">
      <c r="AP48">
        <f t="shared" ref="AP48:AQ48" si="21">SUM(AP7:AP47)</f>
        <v>41</v>
      </c>
      <c r="AQ48">
        <f t="shared" si="21"/>
        <v>4</v>
      </c>
      <c r="AR48">
        <f>SUM(AR7:AR47)</f>
        <v>45</v>
      </c>
    </row>
    <row r="49" spans="1:7" x14ac:dyDescent="0.25">
      <c r="G49">
        <f>AVERAGE(G7:G47)</f>
        <v>16.26829268292683</v>
      </c>
    </row>
    <row r="51" spans="1:7" x14ac:dyDescent="0.25">
      <c r="A51" s="17" t="s">
        <v>66</v>
      </c>
      <c r="C51">
        <f>AVERAGE(C7:C47)</f>
        <v>14.463414634146345</v>
      </c>
      <c r="E51">
        <f>AVERAGE(D7:D47)</f>
        <v>17.529268292682925</v>
      </c>
    </row>
    <row r="52" spans="1:7" x14ac:dyDescent="0.25">
      <c r="A52" s="17" t="s">
        <v>67</v>
      </c>
      <c r="C52">
        <f>AVERAGE(E7:E47)</f>
        <v>10.378048780487806</v>
      </c>
      <c r="E52">
        <f>AVERAGE(F7:F47)</f>
        <v>12.726829268292683</v>
      </c>
    </row>
    <row r="53" spans="1:7" x14ac:dyDescent="0.25">
      <c r="A53" s="17" t="s">
        <v>68</v>
      </c>
    </row>
  </sheetData>
  <mergeCells count="9">
    <mergeCell ref="N5:O5"/>
    <mergeCell ref="P5:Q5"/>
    <mergeCell ref="A1:J2"/>
    <mergeCell ref="A3:J3"/>
    <mergeCell ref="C4:F4"/>
    <mergeCell ref="G4:J4"/>
    <mergeCell ref="C5:D5"/>
    <mergeCell ref="E5:F5"/>
    <mergeCell ref="G5:J5"/>
  </mergeCells>
  <pageMargins left="0.7" right="0.7" top="0.75" bottom="0.75" header="0.3" footer="0.3"/>
  <extLst>
    <ext xmlns:x14="http://schemas.microsoft.com/office/spreadsheetml/2009/9/main" uri="{05C60535-1F16-4fd2-B633-F4F36F0B64E0}">
      <x14:sparklineGroups xmlns:xm="http://schemas.microsoft.com/office/excel/2006/main">
        <x14:sparklineGroup type="column" displayEmptyCellsAs="gap" xr2:uid="{683D9AD8-4EC8-472D-A46C-ACAB0C4E318D}">
          <x14:colorSeries rgb="FF376092"/>
          <x14:colorNegative rgb="FFD00000"/>
          <x14:colorAxis rgb="FF000000"/>
          <x14:colorMarkers rgb="FFD00000"/>
          <x14:colorFirst rgb="FFD00000"/>
          <x14:colorLast rgb="FFD00000"/>
          <x14:colorHigh rgb="FFD00000"/>
          <x14:colorLow rgb="FFD00000"/>
          <x14:sparklines>
            <x14:sparkline>
              <xm:f>'BASE41 (2)'!A6:A6</xm:f>
              <xm:sqref>C6</xm:sqref>
            </x14:sparkline>
          </x14:sparklines>
        </x14:sparklineGroup>
        <x14:sparklineGroup type="column" displayEmptyCellsAs="gap" xr2:uid="{1716E460-B1C1-43C1-ACB6-887AD52E99BC}">
          <x14:colorSeries rgb="FF376092"/>
          <x14:colorNegative rgb="FFD00000"/>
          <x14:colorAxis rgb="FF000000"/>
          <x14:colorMarkers rgb="FFD00000"/>
          <x14:colorFirst rgb="FFD00000"/>
          <x14:colorLast rgb="FFD00000"/>
          <x14:colorHigh rgb="FFD00000"/>
          <x14:colorLow rgb="FFD00000"/>
          <x14:sparklines>
            <x14:sparkline>
              <xm:f>'BASE41 (2)'!L6:L6</xm:f>
              <xm:sqref>N6</xm:sqref>
            </x14:sparkline>
          </x14:sparklines>
        </x14:sparklineGroup>
      </x14:sparklineGroup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F59A39-CB6E-423C-B878-D4151061CC0B}">
  <dimension ref="A1:AF11"/>
  <sheetViews>
    <sheetView workbookViewId="0">
      <selection activeCell="AF8" sqref="AF8"/>
    </sheetView>
  </sheetViews>
  <sheetFormatPr baseColWidth="10" defaultColWidth="11.42578125" defaultRowHeight="15" x14ac:dyDescent="0.25"/>
  <cols>
    <col min="12" max="12" width="3" bestFit="1" customWidth="1"/>
    <col min="13" max="13" width="5.85546875" bestFit="1" customWidth="1"/>
    <col min="15" max="15" width="7.5703125" bestFit="1" customWidth="1"/>
    <col min="16" max="16" width="9.7109375" bestFit="1" customWidth="1"/>
    <col min="17" max="17" width="9.42578125" bestFit="1" customWidth="1"/>
    <col min="18" max="18" width="5" bestFit="1" customWidth="1"/>
    <col min="19" max="19" width="10.7109375" bestFit="1" customWidth="1"/>
    <col min="24" max="24" width="6.140625" bestFit="1" customWidth="1"/>
    <col min="25" max="25" width="7.5703125" bestFit="1" customWidth="1"/>
    <col min="26" max="26" width="7.5703125" customWidth="1"/>
    <col min="28" max="28" width="8.7109375" bestFit="1" customWidth="1"/>
    <col min="29" max="29" width="7.7109375" bestFit="1" customWidth="1"/>
    <col min="30" max="30" width="3" bestFit="1" customWidth="1"/>
    <col min="31" max="31" width="6.140625" bestFit="1" customWidth="1"/>
  </cols>
  <sheetData>
    <row r="1" spans="1:32" x14ac:dyDescent="0.25">
      <c r="A1" t="s">
        <v>0</v>
      </c>
      <c r="C1" t="s">
        <v>1</v>
      </c>
    </row>
    <row r="2" spans="1:32" x14ac:dyDescent="0.25">
      <c r="A2" t="s">
        <v>2</v>
      </c>
      <c r="C2" t="s">
        <v>3</v>
      </c>
      <c r="J2" s="49"/>
      <c r="K2" s="50"/>
      <c r="L2" s="49" t="s">
        <v>4</v>
      </c>
      <c r="M2" s="49" t="s">
        <v>5</v>
      </c>
      <c r="N2" s="49" t="s">
        <v>6</v>
      </c>
      <c r="O2" s="49" t="s">
        <v>7</v>
      </c>
      <c r="P2" s="49" t="s">
        <v>8</v>
      </c>
      <c r="Q2" s="49" t="s">
        <v>9</v>
      </c>
      <c r="R2" s="49" t="s">
        <v>10</v>
      </c>
      <c r="S2" s="49" t="s">
        <v>11</v>
      </c>
      <c r="V2" t="s">
        <v>12</v>
      </c>
      <c r="AB2" s="102" t="s">
        <v>13</v>
      </c>
      <c r="AC2" s="102"/>
      <c r="AD2" s="102"/>
      <c r="AE2" s="102"/>
      <c r="AF2" s="101" t="s">
        <v>14</v>
      </c>
    </row>
    <row r="3" spans="1:32" x14ac:dyDescent="0.25">
      <c r="A3" t="s">
        <v>17</v>
      </c>
      <c r="C3" t="s">
        <v>18</v>
      </c>
      <c r="J3" s="110" t="s">
        <v>19</v>
      </c>
      <c r="K3" s="51" t="s">
        <v>20</v>
      </c>
      <c r="L3" s="52">
        <v>41</v>
      </c>
      <c r="M3" s="53">
        <v>14.463414634146345</v>
      </c>
      <c r="N3" s="53">
        <v>0.46428224302655352</v>
      </c>
      <c r="O3" s="53">
        <v>15.3</v>
      </c>
      <c r="P3" s="53">
        <v>19.5</v>
      </c>
      <c r="Q3" s="53">
        <v>6</v>
      </c>
      <c r="R3" s="52">
        <v>3.9000000000000004</v>
      </c>
      <c r="S3" s="54">
        <v>9.7190470770797788E-2</v>
      </c>
      <c r="U3" s="102" t="s">
        <v>21</v>
      </c>
      <c r="V3" s="102"/>
      <c r="W3" s="102"/>
      <c r="X3" s="49" t="s">
        <v>22</v>
      </c>
      <c r="Y3" s="49" t="s">
        <v>23</v>
      </c>
      <c r="Z3" s="63"/>
      <c r="AB3" s="58" t="s">
        <v>20</v>
      </c>
      <c r="AC3" s="58" t="s">
        <v>24</v>
      </c>
      <c r="AD3" s="58" t="s">
        <v>4</v>
      </c>
      <c r="AE3" s="58" t="s">
        <v>25</v>
      </c>
      <c r="AF3" s="101"/>
    </row>
    <row r="4" spans="1:32" x14ac:dyDescent="0.25">
      <c r="A4" t="s">
        <v>26</v>
      </c>
      <c r="C4" t="s">
        <v>27</v>
      </c>
      <c r="J4" s="111"/>
      <c r="K4" s="51" t="s">
        <v>28</v>
      </c>
      <c r="L4" s="52">
        <v>41</v>
      </c>
      <c r="M4" s="53">
        <v>17.529268292682925</v>
      </c>
      <c r="N4" s="53">
        <v>0.50276362945515063</v>
      </c>
      <c r="O4" s="53">
        <v>17.5</v>
      </c>
      <c r="P4" s="53">
        <v>26.9</v>
      </c>
      <c r="Q4" s="53">
        <v>10.5</v>
      </c>
      <c r="R4" s="52">
        <v>4.0999999999999996</v>
      </c>
      <c r="S4" s="54">
        <v>0.33551935652454268</v>
      </c>
      <c r="U4" s="112" t="s">
        <v>19</v>
      </c>
      <c r="V4" s="113" t="s">
        <v>29</v>
      </c>
      <c r="W4" s="52" t="s">
        <v>30</v>
      </c>
      <c r="X4" s="56">
        <v>16.883333333333336</v>
      </c>
      <c r="Y4" s="103">
        <v>0.21714696202715181</v>
      </c>
      <c r="Z4" s="64"/>
      <c r="AA4" t="s">
        <v>166</v>
      </c>
      <c r="AB4" s="59">
        <v>1</v>
      </c>
      <c r="AC4" s="59">
        <v>0</v>
      </c>
      <c r="AD4" s="59">
        <v>37</v>
      </c>
      <c r="AE4" s="60">
        <f>+AD4/41</f>
        <v>0.90243902439024393</v>
      </c>
      <c r="AF4" s="61">
        <v>3.2516061726496814E-9</v>
      </c>
    </row>
    <row r="5" spans="1:32" x14ac:dyDescent="0.25">
      <c r="A5" t="s">
        <v>32</v>
      </c>
      <c r="J5" s="110" t="s">
        <v>33</v>
      </c>
      <c r="K5" s="51" t="s">
        <v>34</v>
      </c>
      <c r="L5" s="52">
        <v>41</v>
      </c>
      <c r="M5" s="53">
        <v>10.378048780487806</v>
      </c>
      <c r="N5" s="53">
        <v>0.50911822618444413</v>
      </c>
      <c r="O5" s="53">
        <v>9.4</v>
      </c>
      <c r="P5" s="53">
        <v>17</v>
      </c>
      <c r="Q5" s="53">
        <v>5.2</v>
      </c>
      <c r="R5" s="52">
        <v>5.1999999999999993</v>
      </c>
      <c r="S5" s="54">
        <v>0.20568117248456863</v>
      </c>
      <c r="U5" s="112"/>
      <c r="V5" s="113"/>
      <c r="W5" s="52" t="s">
        <v>35</v>
      </c>
      <c r="X5" s="56">
        <v>16.012499999999999</v>
      </c>
      <c r="Y5" s="104"/>
      <c r="Z5" s="64"/>
      <c r="AB5" s="52">
        <v>1</v>
      </c>
      <c r="AC5" s="52">
        <v>1</v>
      </c>
      <c r="AD5" s="52">
        <v>4</v>
      </c>
      <c r="AE5" s="57">
        <f>+AD5/41</f>
        <v>9.7560975609756101E-2</v>
      </c>
      <c r="AF5" s="62"/>
    </row>
    <row r="6" spans="1:32" x14ac:dyDescent="0.25">
      <c r="J6" s="110"/>
      <c r="K6" s="51" t="s">
        <v>28</v>
      </c>
      <c r="L6" s="52">
        <v>41</v>
      </c>
      <c r="M6" s="53">
        <v>12.726829268292683</v>
      </c>
      <c r="N6" s="53">
        <v>0.50365765074037838</v>
      </c>
      <c r="O6" s="53">
        <v>13</v>
      </c>
      <c r="P6" s="53">
        <v>19.3</v>
      </c>
      <c r="Q6" s="53">
        <v>6</v>
      </c>
      <c r="R6" s="52">
        <v>4.9000000000000004</v>
      </c>
      <c r="S6" s="77">
        <v>0.18262271714481282</v>
      </c>
      <c r="U6" s="112"/>
      <c r="V6" s="113" t="s">
        <v>36</v>
      </c>
      <c r="W6" s="52" t="s">
        <v>20</v>
      </c>
      <c r="X6" s="56">
        <v>14.93125</v>
      </c>
      <c r="Y6" s="105">
        <v>3.5828343158220101E-4</v>
      </c>
      <c r="Z6" s="65"/>
    </row>
    <row r="7" spans="1:32" ht="15" customHeight="1" x14ac:dyDescent="0.25">
      <c r="J7" s="114" t="s">
        <v>38</v>
      </c>
      <c r="K7" s="51" t="s">
        <v>20</v>
      </c>
      <c r="L7" s="52">
        <v>41</v>
      </c>
      <c r="M7" s="53">
        <v>16.26829268292683</v>
      </c>
      <c r="N7" s="53">
        <v>0.55658408328019637</v>
      </c>
      <c r="O7" s="53">
        <v>16</v>
      </c>
      <c r="P7" s="53">
        <v>21</v>
      </c>
      <c r="Q7" s="53">
        <v>10</v>
      </c>
      <c r="R7" s="52">
        <v>7</v>
      </c>
      <c r="S7" s="55">
        <v>1.7873090769349176E-3</v>
      </c>
      <c r="U7" s="112"/>
      <c r="V7" s="113"/>
      <c r="W7" s="52" t="s">
        <v>28</v>
      </c>
      <c r="X7" s="56">
        <v>17.964583333333337</v>
      </c>
      <c r="Y7" s="106"/>
      <c r="Z7" s="65"/>
    </row>
    <row r="8" spans="1:32" ht="15" customHeight="1" x14ac:dyDescent="0.25">
      <c r="J8" s="114"/>
      <c r="K8" s="51" t="s">
        <v>13</v>
      </c>
      <c r="L8" s="52">
        <v>41</v>
      </c>
      <c r="M8" s="53">
        <v>2.3170731707317072</v>
      </c>
      <c r="N8" s="53">
        <v>0.45590839953722079</v>
      </c>
      <c r="O8" s="53">
        <v>1</v>
      </c>
      <c r="P8" s="53">
        <v>10</v>
      </c>
      <c r="Q8" s="53">
        <v>0</v>
      </c>
      <c r="R8" s="52">
        <v>4</v>
      </c>
      <c r="S8" s="89">
        <v>9.9590040970560789E-3</v>
      </c>
      <c r="U8" s="107" t="s">
        <v>33</v>
      </c>
      <c r="V8" s="113" t="s">
        <v>29</v>
      </c>
      <c r="W8" s="52" t="s">
        <v>30</v>
      </c>
      <c r="X8" s="56">
        <v>11.902083333333334</v>
      </c>
      <c r="Y8" s="103">
        <v>0.77159105096407321</v>
      </c>
      <c r="Z8" s="64"/>
    </row>
    <row r="9" spans="1:32" x14ac:dyDescent="0.25">
      <c r="J9" s="86"/>
      <c r="K9" s="87"/>
      <c r="M9" s="27"/>
      <c r="N9" s="27"/>
      <c r="O9" s="27"/>
      <c r="P9" s="27"/>
      <c r="Q9" s="27"/>
      <c r="S9" s="88"/>
      <c r="U9" s="108"/>
      <c r="V9" s="113"/>
      <c r="W9" s="52" t="s">
        <v>35</v>
      </c>
      <c r="X9" s="56">
        <v>11.666666666666666</v>
      </c>
      <c r="Y9" s="104"/>
      <c r="Z9" s="64"/>
    </row>
    <row r="10" spans="1:32" x14ac:dyDescent="0.25">
      <c r="J10" s="86"/>
      <c r="K10" s="87"/>
      <c r="M10" s="27"/>
      <c r="N10" s="27"/>
      <c r="O10" s="27"/>
      <c r="P10" s="27"/>
      <c r="Q10" s="27"/>
      <c r="S10" s="88"/>
      <c r="U10" s="108"/>
      <c r="V10" s="113" t="s">
        <v>36</v>
      </c>
      <c r="W10" s="52" t="s">
        <v>20</v>
      </c>
      <c r="X10" s="56">
        <v>10.487500000000001</v>
      </c>
      <c r="Y10" s="105">
        <v>7.0059873110578982E-3</v>
      </c>
      <c r="Z10" s="65"/>
    </row>
    <row r="11" spans="1:32" x14ac:dyDescent="0.25">
      <c r="U11" s="109"/>
      <c r="V11" s="113"/>
      <c r="W11" s="52" t="s">
        <v>28</v>
      </c>
      <c r="X11" s="56">
        <v>13.081249999999999</v>
      </c>
      <c r="Y11" s="106"/>
      <c r="Z11" s="65"/>
    </row>
  </sheetData>
  <mergeCells count="16">
    <mergeCell ref="Y8:Y9"/>
    <mergeCell ref="Y10:Y11"/>
    <mergeCell ref="U8:U11"/>
    <mergeCell ref="J3:J4"/>
    <mergeCell ref="J5:J6"/>
    <mergeCell ref="U4:U7"/>
    <mergeCell ref="V4:V5"/>
    <mergeCell ref="V6:V7"/>
    <mergeCell ref="V8:V9"/>
    <mergeCell ref="V10:V11"/>
    <mergeCell ref="J7:J8"/>
    <mergeCell ref="AF2:AF3"/>
    <mergeCell ref="AB2:AE2"/>
    <mergeCell ref="U3:W3"/>
    <mergeCell ref="Y4:Y5"/>
    <mergeCell ref="Y6:Y7"/>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30027-B4FE-4606-9028-D1635AEBDFD1}">
  <dimension ref="A1:N53"/>
  <sheetViews>
    <sheetView topLeftCell="A3" zoomScale="131" workbookViewId="0">
      <selection activeCell="N6" sqref="N6"/>
    </sheetView>
  </sheetViews>
  <sheetFormatPr baseColWidth="10" defaultColWidth="11.42578125" defaultRowHeight="15" x14ac:dyDescent="0.25"/>
  <cols>
    <col min="1" max="1" width="17.28515625" customWidth="1"/>
    <col min="2" max="2" width="15.85546875" customWidth="1"/>
    <col min="3" max="3" width="12.85546875" customWidth="1"/>
    <col min="4" max="4" width="14.7109375" customWidth="1"/>
    <col min="5" max="5" width="12.42578125" customWidth="1"/>
    <col min="6" max="6" width="13.140625" customWidth="1"/>
    <col min="10" max="10" width="63.140625" customWidth="1"/>
  </cols>
  <sheetData>
    <row r="1" spans="1:14" ht="18.75" customHeight="1" x14ac:dyDescent="0.3">
      <c r="A1" s="93" t="s">
        <v>135</v>
      </c>
      <c r="B1" s="93"/>
      <c r="C1" s="93"/>
      <c r="D1" s="93"/>
      <c r="E1" s="93"/>
      <c r="F1" s="93"/>
      <c r="G1" s="93"/>
      <c r="H1" s="93"/>
      <c r="I1" s="93"/>
      <c r="J1" s="93"/>
      <c r="K1" s="1"/>
      <c r="L1" s="1"/>
      <c r="M1" s="1"/>
      <c r="N1" s="1"/>
    </row>
    <row r="2" spans="1:14" ht="15" customHeight="1" x14ac:dyDescent="0.3">
      <c r="A2" s="93"/>
      <c r="B2" s="93"/>
      <c r="C2" s="93"/>
      <c r="D2" s="93"/>
      <c r="E2" s="93"/>
      <c r="F2" s="93"/>
      <c r="G2" s="93"/>
      <c r="H2" s="93"/>
      <c r="I2" s="93"/>
      <c r="J2" s="93"/>
      <c r="K2" s="1"/>
      <c r="L2" s="1"/>
      <c r="M2" s="1"/>
      <c r="N2" s="1"/>
    </row>
    <row r="3" spans="1:14" ht="58.5" customHeight="1" x14ac:dyDescent="0.25">
      <c r="A3" s="115" t="s">
        <v>136</v>
      </c>
      <c r="B3" s="94"/>
      <c r="C3" s="95"/>
      <c r="D3" s="95"/>
      <c r="E3" s="95"/>
      <c r="F3" s="95"/>
      <c r="G3" s="95"/>
      <c r="H3" s="95"/>
      <c r="I3" s="95"/>
      <c r="J3" s="95"/>
    </row>
    <row r="4" spans="1:14" x14ac:dyDescent="0.25">
      <c r="A4" s="2"/>
      <c r="B4" s="2"/>
      <c r="C4" s="96" t="s">
        <v>44</v>
      </c>
      <c r="D4" s="96"/>
      <c r="E4" s="96"/>
      <c r="F4" s="96"/>
      <c r="G4" s="97"/>
      <c r="H4" s="98"/>
      <c r="I4" s="98"/>
      <c r="J4" s="99"/>
    </row>
    <row r="5" spans="1:14" x14ac:dyDescent="0.25">
      <c r="A5" s="2"/>
      <c r="B5" s="2"/>
      <c r="C5" s="90" t="s">
        <v>19</v>
      </c>
      <c r="D5" s="91"/>
      <c r="E5" s="92" t="s">
        <v>33</v>
      </c>
      <c r="F5" s="92"/>
      <c r="G5" s="100" t="s">
        <v>38</v>
      </c>
      <c r="H5" s="100"/>
      <c r="I5" s="100"/>
      <c r="J5" s="100"/>
    </row>
    <row r="6" spans="1:14" x14ac:dyDescent="0.25">
      <c r="A6" s="11" t="s">
        <v>45</v>
      </c>
      <c r="B6" s="16" t="s">
        <v>46</v>
      </c>
      <c r="C6" s="8" t="s">
        <v>20</v>
      </c>
      <c r="D6" s="15" t="s">
        <v>28</v>
      </c>
      <c r="E6" s="8" t="s">
        <v>34</v>
      </c>
      <c r="F6" s="9" t="s">
        <v>28</v>
      </c>
      <c r="G6" s="8" t="s">
        <v>20</v>
      </c>
      <c r="H6" s="7" t="s">
        <v>13</v>
      </c>
      <c r="I6" s="15" t="s">
        <v>28</v>
      </c>
      <c r="J6" s="9" t="s">
        <v>13</v>
      </c>
    </row>
    <row r="7" spans="1:14" x14ac:dyDescent="0.25">
      <c r="A7" s="6">
        <v>1</v>
      </c>
      <c r="B7" s="6" t="s">
        <v>30</v>
      </c>
      <c r="C7" s="4" t="s">
        <v>137</v>
      </c>
      <c r="D7" s="10" t="s">
        <v>138</v>
      </c>
      <c r="E7" s="4" t="s">
        <v>139</v>
      </c>
      <c r="F7" s="5">
        <v>11.3</v>
      </c>
      <c r="G7" s="3" t="s">
        <v>140</v>
      </c>
      <c r="H7" s="3">
        <v>1</v>
      </c>
      <c r="I7" s="14" t="s">
        <v>141</v>
      </c>
      <c r="J7" s="5">
        <v>0</v>
      </c>
    </row>
    <row r="8" spans="1:14" x14ac:dyDescent="0.25">
      <c r="A8" s="6">
        <v>2</v>
      </c>
      <c r="B8" s="6" t="s">
        <v>30</v>
      </c>
      <c r="C8" s="3">
        <v>16.5</v>
      </c>
      <c r="D8" s="5">
        <v>19.3</v>
      </c>
      <c r="E8" s="3">
        <v>7.9</v>
      </c>
      <c r="F8" s="5">
        <v>9.6</v>
      </c>
      <c r="G8" s="3" t="s">
        <v>142</v>
      </c>
      <c r="H8" s="3">
        <v>1</v>
      </c>
      <c r="I8" s="14" t="s">
        <v>143</v>
      </c>
      <c r="J8" s="5">
        <v>0</v>
      </c>
    </row>
    <row r="9" spans="1:14" x14ac:dyDescent="0.25">
      <c r="A9" s="6">
        <v>3</v>
      </c>
      <c r="B9" s="6" t="s">
        <v>30</v>
      </c>
      <c r="C9" s="3">
        <v>12</v>
      </c>
      <c r="D9" s="5">
        <v>21</v>
      </c>
      <c r="E9" s="4" t="s">
        <v>144</v>
      </c>
      <c r="F9" s="5">
        <v>10.1</v>
      </c>
      <c r="G9" s="3" t="s">
        <v>142</v>
      </c>
      <c r="H9" s="3">
        <v>1</v>
      </c>
      <c r="I9" s="5" t="s">
        <v>143</v>
      </c>
      <c r="J9" s="5">
        <v>0</v>
      </c>
    </row>
    <row r="10" spans="1:14" x14ac:dyDescent="0.25">
      <c r="A10" s="6">
        <v>4</v>
      </c>
      <c r="B10" s="6" t="s">
        <v>35</v>
      </c>
      <c r="C10" s="3">
        <v>13.8</v>
      </c>
      <c r="D10" s="5">
        <v>19</v>
      </c>
      <c r="E10" s="3">
        <v>8.9</v>
      </c>
      <c r="F10" s="5">
        <v>10</v>
      </c>
      <c r="G10" s="12" t="s">
        <v>145</v>
      </c>
      <c r="H10" s="3">
        <v>1</v>
      </c>
      <c r="I10" s="5" t="s">
        <v>143</v>
      </c>
      <c r="J10" s="5">
        <v>0</v>
      </c>
    </row>
    <row r="11" spans="1:14" x14ac:dyDescent="0.25">
      <c r="A11" s="6">
        <v>5</v>
      </c>
      <c r="B11" s="6" t="s">
        <v>30</v>
      </c>
      <c r="C11" s="3">
        <v>13.4</v>
      </c>
      <c r="D11" s="5">
        <v>15.9</v>
      </c>
      <c r="E11" s="3">
        <v>7.6</v>
      </c>
      <c r="F11" s="5">
        <v>10.4</v>
      </c>
      <c r="G11" s="3" t="s">
        <v>146</v>
      </c>
      <c r="H11" s="3">
        <v>1</v>
      </c>
      <c r="I11" s="14" t="s">
        <v>141</v>
      </c>
      <c r="J11" s="5">
        <v>0</v>
      </c>
    </row>
    <row r="12" spans="1:14" x14ac:dyDescent="0.25">
      <c r="A12" s="6">
        <v>6</v>
      </c>
      <c r="B12" s="6" t="s">
        <v>30</v>
      </c>
      <c r="C12" s="3">
        <v>11.3</v>
      </c>
      <c r="D12" s="5">
        <v>16.399999999999999</v>
      </c>
      <c r="E12" s="3">
        <v>9.1</v>
      </c>
      <c r="F12" s="5">
        <v>10.3</v>
      </c>
      <c r="G12" s="3" t="s">
        <v>142</v>
      </c>
      <c r="H12" s="3">
        <v>1</v>
      </c>
      <c r="I12" s="5" t="s">
        <v>143</v>
      </c>
      <c r="J12" s="5">
        <v>0</v>
      </c>
    </row>
    <row r="13" spans="1:14" x14ac:dyDescent="0.25">
      <c r="A13" s="6">
        <v>7</v>
      </c>
      <c r="B13" s="6" t="s">
        <v>30</v>
      </c>
      <c r="C13" s="3">
        <v>12</v>
      </c>
      <c r="D13" s="5">
        <v>20.6</v>
      </c>
      <c r="E13" s="3">
        <v>9.4</v>
      </c>
      <c r="F13" s="5">
        <v>10.1</v>
      </c>
      <c r="G13" s="3" t="s">
        <v>142</v>
      </c>
      <c r="H13" s="3">
        <v>1</v>
      </c>
      <c r="I13" s="5" t="s">
        <v>143</v>
      </c>
      <c r="J13" s="5">
        <v>0</v>
      </c>
    </row>
    <row r="14" spans="1:14" x14ac:dyDescent="0.25">
      <c r="A14" s="6">
        <v>8</v>
      </c>
      <c r="B14" s="6" t="s">
        <v>35</v>
      </c>
      <c r="C14" s="3">
        <v>16.100000000000001</v>
      </c>
      <c r="D14" s="5">
        <v>15.6</v>
      </c>
      <c r="E14" s="3">
        <v>10.199999999999999</v>
      </c>
      <c r="F14" s="5">
        <v>9.9</v>
      </c>
      <c r="G14" s="3" t="s">
        <v>140</v>
      </c>
      <c r="H14" s="3">
        <v>1</v>
      </c>
      <c r="I14" s="14" t="s">
        <v>147</v>
      </c>
      <c r="J14" s="5">
        <v>0</v>
      </c>
    </row>
    <row r="15" spans="1:14" x14ac:dyDescent="0.25">
      <c r="A15" s="6">
        <v>9</v>
      </c>
      <c r="B15" s="6" t="s">
        <v>30</v>
      </c>
      <c r="C15" s="3">
        <v>16.8</v>
      </c>
      <c r="D15" s="5">
        <v>18.100000000000001</v>
      </c>
      <c r="E15" s="3">
        <v>8.1999999999999993</v>
      </c>
      <c r="F15" s="5">
        <v>9.4</v>
      </c>
      <c r="G15" s="3" t="s">
        <v>148</v>
      </c>
      <c r="H15" s="3">
        <v>1</v>
      </c>
      <c r="I15" s="14" t="s">
        <v>141</v>
      </c>
      <c r="J15" s="5">
        <v>0</v>
      </c>
    </row>
    <row r="16" spans="1:14" x14ac:dyDescent="0.25">
      <c r="A16" s="6">
        <v>10</v>
      </c>
      <c r="B16" s="6" t="s">
        <v>30</v>
      </c>
      <c r="C16" s="3">
        <v>16.2</v>
      </c>
      <c r="D16" s="5">
        <v>23.8</v>
      </c>
      <c r="E16" s="3">
        <v>7.9</v>
      </c>
      <c r="F16" s="5">
        <v>15</v>
      </c>
      <c r="G16" s="3" t="s">
        <v>146</v>
      </c>
      <c r="H16" s="3">
        <v>1</v>
      </c>
      <c r="I16" s="14" t="s">
        <v>143</v>
      </c>
      <c r="J16" s="5">
        <v>0</v>
      </c>
    </row>
    <row r="17" spans="1:10" x14ac:dyDescent="0.25">
      <c r="A17" s="6">
        <v>11</v>
      </c>
      <c r="B17" s="6" t="s">
        <v>30</v>
      </c>
      <c r="C17" s="3">
        <v>17.8</v>
      </c>
      <c r="D17" s="5">
        <v>19.3</v>
      </c>
      <c r="E17" s="3">
        <v>10</v>
      </c>
      <c r="F17" s="5">
        <v>11.1</v>
      </c>
      <c r="G17" s="3" t="s">
        <v>149</v>
      </c>
      <c r="H17" s="3">
        <v>1</v>
      </c>
      <c r="I17" s="14" t="s">
        <v>143</v>
      </c>
      <c r="J17" s="5">
        <v>0</v>
      </c>
    </row>
    <row r="18" spans="1:10" x14ac:dyDescent="0.25">
      <c r="A18" s="6">
        <v>12</v>
      </c>
      <c r="B18" s="6" t="s">
        <v>35</v>
      </c>
      <c r="C18" s="3">
        <v>15.2</v>
      </c>
      <c r="D18" s="5">
        <v>26.9</v>
      </c>
      <c r="E18" s="3">
        <v>5.2</v>
      </c>
      <c r="F18" s="5">
        <v>12.3</v>
      </c>
      <c r="G18" s="3" t="s">
        <v>148</v>
      </c>
      <c r="H18" s="3">
        <v>1</v>
      </c>
      <c r="I18" s="14" t="s">
        <v>143</v>
      </c>
      <c r="J18" s="5">
        <v>0</v>
      </c>
    </row>
    <row r="19" spans="1:10" x14ac:dyDescent="0.25">
      <c r="A19" s="6">
        <v>13</v>
      </c>
      <c r="B19" s="6" t="s">
        <v>30</v>
      </c>
      <c r="C19" s="3">
        <v>15.7</v>
      </c>
      <c r="D19" s="5">
        <v>17.399999999999999</v>
      </c>
      <c r="E19" s="3">
        <v>5.6</v>
      </c>
      <c r="F19" s="5">
        <v>9.9</v>
      </c>
      <c r="G19" s="13" t="s">
        <v>150</v>
      </c>
      <c r="H19" s="3">
        <v>1</v>
      </c>
      <c r="I19" s="14" t="s">
        <v>143</v>
      </c>
      <c r="J19" s="5">
        <v>0</v>
      </c>
    </row>
    <row r="20" spans="1:10" x14ac:dyDescent="0.25">
      <c r="A20" s="6">
        <v>14</v>
      </c>
      <c r="B20" s="6" t="s">
        <v>30</v>
      </c>
      <c r="C20" s="3">
        <v>16.600000000000001</v>
      </c>
      <c r="D20" s="5">
        <v>17.899999999999999</v>
      </c>
      <c r="E20" s="3">
        <v>8.3000000000000007</v>
      </c>
      <c r="F20" s="5">
        <v>9.1</v>
      </c>
      <c r="G20" s="13" t="s">
        <v>150</v>
      </c>
      <c r="H20" s="3">
        <v>1</v>
      </c>
      <c r="I20" s="14" t="s">
        <v>143</v>
      </c>
      <c r="J20" s="5">
        <v>0</v>
      </c>
    </row>
    <row r="21" spans="1:10" x14ac:dyDescent="0.25">
      <c r="A21" s="6">
        <v>15</v>
      </c>
      <c r="B21" s="6" t="s">
        <v>35</v>
      </c>
      <c r="C21" s="3">
        <v>12.3</v>
      </c>
      <c r="D21" s="5">
        <v>18.5</v>
      </c>
      <c r="E21" s="3">
        <v>5.8</v>
      </c>
      <c r="F21" s="5">
        <v>13.2</v>
      </c>
      <c r="G21" s="3" t="s">
        <v>145</v>
      </c>
      <c r="H21" s="3">
        <v>1</v>
      </c>
      <c r="I21" s="14" t="s">
        <v>141</v>
      </c>
      <c r="J21" s="5">
        <v>0</v>
      </c>
    </row>
    <row r="22" spans="1:10" x14ac:dyDescent="0.25">
      <c r="A22" s="6">
        <v>16</v>
      </c>
      <c r="B22" s="6" t="s">
        <v>35</v>
      </c>
      <c r="C22" s="3">
        <v>15.9</v>
      </c>
      <c r="D22" s="5">
        <v>15.8</v>
      </c>
      <c r="E22" s="3">
        <v>8.8000000000000007</v>
      </c>
      <c r="F22" s="5">
        <v>9.5</v>
      </c>
      <c r="G22" s="3" t="s">
        <v>145</v>
      </c>
      <c r="H22" s="3">
        <v>1</v>
      </c>
      <c r="I22" s="14" t="s">
        <v>151</v>
      </c>
      <c r="J22" s="5">
        <v>0</v>
      </c>
    </row>
    <row r="23" spans="1:10" x14ac:dyDescent="0.25">
      <c r="A23" s="6">
        <v>17</v>
      </c>
      <c r="B23" s="6" t="s">
        <v>30</v>
      </c>
      <c r="C23" s="3">
        <v>16.8</v>
      </c>
      <c r="D23" s="5">
        <v>18.8</v>
      </c>
      <c r="E23" s="3">
        <v>10.4</v>
      </c>
      <c r="F23" s="5">
        <v>13.8</v>
      </c>
      <c r="G23" s="3" t="s">
        <v>148</v>
      </c>
      <c r="H23" s="3">
        <v>1</v>
      </c>
      <c r="I23" s="14" t="s">
        <v>143</v>
      </c>
      <c r="J23" s="5">
        <v>0</v>
      </c>
    </row>
    <row r="24" spans="1:10" x14ac:dyDescent="0.25">
      <c r="A24" s="6">
        <v>18</v>
      </c>
      <c r="B24" s="6" t="s">
        <v>30</v>
      </c>
      <c r="C24" s="3">
        <v>15.3</v>
      </c>
      <c r="D24" s="5">
        <v>17.399999999999999</v>
      </c>
      <c r="E24" s="3">
        <v>10.4</v>
      </c>
      <c r="F24" s="5">
        <v>11.3</v>
      </c>
      <c r="G24" s="13" t="s">
        <v>150</v>
      </c>
      <c r="H24" s="3">
        <v>1</v>
      </c>
      <c r="I24" s="14" t="s">
        <v>143</v>
      </c>
      <c r="J24" s="5">
        <v>0</v>
      </c>
    </row>
    <row r="25" spans="1:10" x14ac:dyDescent="0.25">
      <c r="A25" s="6">
        <v>19</v>
      </c>
      <c r="B25" s="6" t="s">
        <v>35</v>
      </c>
      <c r="C25" s="3">
        <v>13.7</v>
      </c>
      <c r="D25" s="5">
        <v>10.5</v>
      </c>
      <c r="E25" s="3">
        <v>8</v>
      </c>
      <c r="F25" s="5">
        <v>9.3000000000000007</v>
      </c>
      <c r="G25" s="3" t="s">
        <v>145</v>
      </c>
      <c r="H25" s="3">
        <v>1</v>
      </c>
      <c r="I25" s="14" t="s">
        <v>152</v>
      </c>
      <c r="J25" s="5">
        <v>0</v>
      </c>
    </row>
    <row r="26" spans="1:10" x14ac:dyDescent="0.25">
      <c r="A26" s="6">
        <v>20</v>
      </c>
      <c r="B26" s="6" t="s">
        <v>35</v>
      </c>
      <c r="C26" s="3">
        <v>13.6</v>
      </c>
      <c r="D26" s="5">
        <v>15.4</v>
      </c>
      <c r="E26" s="3">
        <v>17</v>
      </c>
      <c r="F26" s="5">
        <v>19.3</v>
      </c>
      <c r="G26" s="3" t="s">
        <v>146</v>
      </c>
      <c r="H26" s="3">
        <v>1</v>
      </c>
      <c r="I26" s="14" t="s">
        <v>141</v>
      </c>
      <c r="J26" s="5">
        <v>0</v>
      </c>
    </row>
    <row r="27" spans="1:10" x14ac:dyDescent="0.25">
      <c r="A27" s="6">
        <v>21</v>
      </c>
      <c r="B27" s="6" t="s">
        <v>35</v>
      </c>
      <c r="C27" s="3">
        <v>14.8</v>
      </c>
      <c r="D27" s="5">
        <v>16.7</v>
      </c>
      <c r="E27" s="3">
        <v>7.9</v>
      </c>
      <c r="F27" s="5">
        <v>13.2</v>
      </c>
      <c r="G27" s="3" t="s">
        <v>153</v>
      </c>
      <c r="H27" s="3">
        <v>1</v>
      </c>
      <c r="I27" s="14" t="s">
        <v>154</v>
      </c>
      <c r="J27" s="5">
        <v>1</v>
      </c>
    </row>
    <row r="28" spans="1:10" x14ac:dyDescent="0.25">
      <c r="A28" s="6">
        <v>22</v>
      </c>
      <c r="B28" s="6" t="s">
        <v>35</v>
      </c>
      <c r="C28" s="3">
        <v>9.1</v>
      </c>
      <c r="D28" s="5">
        <v>11.9</v>
      </c>
      <c r="E28" s="3">
        <v>8.8000000000000007</v>
      </c>
      <c r="F28" s="5">
        <v>9.1999999999999993</v>
      </c>
      <c r="G28" s="3" t="s">
        <v>153</v>
      </c>
      <c r="H28" s="3">
        <v>1</v>
      </c>
      <c r="I28" s="14" t="s">
        <v>155</v>
      </c>
      <c r="J28" s="5">
        <v>1</v>
      </c>
    </row>
    <row r="29" spans="1:10" x14ac:dyDescent="0.25">
      <c r="A29" s="6">
        <v>23</v>
      </c>
      <c r="B29" s="6" t="s">
        <v>30</v>
      </c>
      <c r="C29" s="3">
        <v>18.899999999999999</v>
      </c>
      <c r="D29" s="5">
        <v>20</v>
      </c>
      <c r="E29" s="3">
        <v>16.5</v>
      </c>
      <c r="F29" s="5">
        <v>17.399999999999999</v>
      </c>
      <c r="G29" s="3" t="s">
        <v>148</v>
      </c>
      <c r="H29" s="3">
        <v>1</v>
      </c>
      <c r="I29" s="14" t="s">
        <v>141</v>
      </c>
      <c r="J29" s="5">
        <v>0</v>
      </c>
    </row>
    <row r="30" spans="1:10" x14ac:dyDescent="0.25">
      <c r="A30" s="6">
        <v>24</v>
      </c>
      <c r="B30" s="6" t="s">
        <v>35</v>
      </c>
      <c r="C30" s="3">
        <v>15.8</v>
      </c>
      <c r="D30" s="5">
        <v>19.7</v>
      </c>
      <c r="E30" s="3">
        <v>13.5</v>
      </c>
      <c r="F30" s="5">
        <v>16.7</v>
      </c>
      <c r="G30" s="13" t="s">
        <v>150</v>
      </c>
      <c r="H30" s="3">
        <v>1</v>
      </c>
      <c r="I30" s="14" t="s">
        <v>141</v>
      </c>
      <c r="J30" s="5">
        <v>0</v>
      </c>
    </row>
    <row r="31" spans="1:10" x14ac:dyDescent="0.25">
      <c r="A31" s="6">
        <v>25</v>
      </c>
      <c r="B31" s="6" t="s">
        <v>30</v>
      </c>
      <c r="C31" s="3">
        <v>15.5</v>
      </c>
      <c r="D31" s="5">
        <v>17</v>
      </c>
      <c r="E31" s="3">
        <v>13.2</v>
      </c>
      <c r="F31" s="5">
        <v>14.8</v>
      </c>
      <c r="G31" s="3" t="s">
        <v>153</v>
      </c>
      <c r="H31" s="3">
        <v>1</v>
      </c>
      <c r="I31" s="14" t="s">
        <v>156</v>
      </c>
      <c r="J31" s="5">
        <v>0</v>
      </c>
    </row>
    <row r="32" spans="1:10" x14ac:dyDescent="0.25">
      <c r="A32" s="6">
        <v>26</v>
      </c>
      <c r="B32" s="6" t="s">
        <v>30</v>
      </c>
      <c r="C32" s="3">
        <v>19.5</v>
      </c>
      <c r="D32" s="5">
        <v>19.8</v>
      </c>
      <c r="E32" s="3">
        <v>16.899999999999999</v>
      </c>
      <c r="F32" s="5">
        <v>17.2</v>
      </c>
      <c r="G32" s="3" t="s">
        <v>142</v>
      </c>
      <c r="H32" s="3">
        <v>1</v>
      </c>
      <c r="I32" s="14" t="s">
        <v>157</v>
      </c>
      <c r="J32" s="5">
        <v>0</v>
      </c>
    </row>
    <row r="33" spans="1:10" x14ac:dyDescent="0.25">
      <c r="A33" s="6">
        <v>27</v>
      </c>
      <c r="B33" s="6" t="s">
        <v>30</v>
      </c>
      <c r="C33" s="3">
        <v>19.100000000000001</v>
      </c>
      <c r="D33" s="5">
        <v>20.2</v>
      </c>
      <c r="E33" s="3">
        <v>16.2</v>
      </c>
      <c r="F33" s="5">
        <v>17.399999999999999</v>
      </c>
      <c r="G33" s="3" t="s">
        <v>149</v>
      </c>
      <c r="H33" s="3">
        <v>1</v>
      </c>
      <c r="I33" s="14" t="s">
        <v>141</v>
      </c>
      <c r="J33" s="5">
        <v>0</v>
      </c>
    </row>
    <row r="34" spans="1:10" x14ac:dyDescent="0.25">
      <c r="A34" s="6">
        <v>28</v>
      </c>
      <c r="B34" s="6" t="s">
        <v>35</v>
      </c>
      <c r="C34" s="3">
        <v>17.600000000000001</v>
      </c>
      <c r="D34" s="5">
        <v>20.9</v>
      </c>
      <c r="E34" s="3">
        <v>15</v>
      </c>
      <c r="F34" s="5">
        <v>17.8</v>
      </c>
      <c r="G34" s="3" t="s">
        <v>158</v>
      </c>
      <c r="H34" s="3">
        <v>1</v>
      </c>
      <c r="I34" s="14" t="s">
        <v>147</v>
      </c>
      <c r="J34" s="5">
        <v>0</v>
      </c>
    </row>
    <row r="35" spans="1:10" x14ac:dyDescent="0.25">
      <c r="A35" s="6">
        <v>29</v>
      </c>
      <c r="B35" s="6" t="s">
        <v>35</v>
      </c>
      <c r="C35" s="3">
        <v>14.8</v>
      </c>
      <c r="D35" s="5">
        <v>20.7</v>
      </c>
      <c r="E35" s="3">
        <v>12.8</v>
      </c>
      <c r="F35" s="5">
        <v>17.7</v>
      </c>
      <c r="G35" s="3" t="s">
        <v>140</v>
      </c>
      <c r="H35" s="3">
        <v>1</v>
      </c>
      <c r="I35" s="14" t="s">
        <v>141</v>
      </c>
      <c r="J35" s="5">
        <v>0</v>
      </c>
    </row>
    <row r="36" spans="1:10" x14ac:dyDescent="0.25">
      <c r="A36" s="6">
        <v>30</v>
      </c>
      <c r="B36" s="6" t="s">
        <v>30</v>
      </c>
      <c r="C36" s="3">
        <v>16.5</v>
      </c>
      <c r="D36" s="5">
        <v>17.600000000000001</v>
      </c>
      <c r="E36" s="3">
        <v>14.4</v>
      </c>
      <c r="F36" s="5">
        <v>15.5</v>
      </c>
      <c r="G36" s="3" t="s">
        <v>153</v>
      </c>
      <c r="H36" s="3">
        <v>1</v>
      </c>
      <c r="I36" s="14" t="s">
        <v>155</v>
      </c>
      <c r="J36" s="5">
        <v>1</v>
      </c>
    </row>
    <row r="37" spans="1:10" x14ac:dyDescent="0.25">
      <c r="A37" s="6">
        <v>31</v>
      </c>
      <c r="B37" s="6" t="s">
        <v>30</v>
      </c>
      <c r="C37" s="3">
        <v>15.5</v>
      </c>
      <c r="D37" s="5">
        <v>16.8</v>
      </c>
      <c r="E37" s="3">
        <v>13.5</v>
      </c>
      <c r="F37" s="5">
        <v>14.6</v>
      </c>
      <c r="G37" s="13" t="s">
        <v>150</v>
      </c>
      <c r="H37" s="3">
        <v>1</v>
      </c>
      <c r="I37" s="14" t="s">
        <v>143</v>
      </c>
      <c r="J37" s="5">
        <v>0</v>
      </c>
    </row>
    <row r="38" spans="1:10" x14ac:dyDescent="0.25">
      <c r="A38" s="6">
        <v>32</v>
      </c>
      <c r="B38" s="6" t="s">
        <v>30</v>
      </c>
      <c r="C38" s="3">
        <v>16.399999999999999</v>
      </c>
      <c r="D38" s="5">
        <v>20.399999999999999</v>
      </c>
      <c r="E38" s="3">
        <v>13.8</v>
      </c>
      <c r="F38" s="5">
        <v>17.2</v>
      </c>
      <c r="G38" s="3" t="s">
        <v>158</v>
      </c>
      <c r="H38" s="3">
        <v>1</v>
      </c>
      <c r="I38" s="14" t="s">
        <v>143</v>
      </c>
      <c r="J38" s="5">
        <v>0</v>
      </c>
    </row>
    <row r="39" spans="1:10" x14ac:dyDescent="0.25">
      <c r="A39" s="6">
        <v>33</v>
      </c>
      <c r="B39" s="6" t="s">
        <v>30</v>
      </c>
      <c r="C39" s="3">
        <v>15.8</v>
      </c>
      <c r="D39" s="5">
        <v>17.5</v>
      </c>
      <c r="E39" s="3">
        <v>13.4</v>
      </c>
      <c r="F39" s="5">
        <v>14.9</v>
      </c>
      <c r="G39" s="3" t="s">
        <v>140</v>
      </c>
      <c r="H39" s="3">
        <v>1</v>
      </c>
      <c r="I39" s="14" t="s">
        <v>143</v>
      </c>
      <c r="J39" s="5">
        <v>0</v>
      </c>
    </row>
    <row r="40" spans="1:10" x14ac:dyDescent="0.25">
      <c r="A40" s="6">
        <v>34</v>
      </c>
      <c r="B40" s="6" t="s">
        <v>30</v>
      </c>
      <c r="C40" s="3">
        <v>10</v>
      </c>
      <c r="D40" s="5">
        <v>15.5</v>
      </c>
      <c r="E40" s="3">
        <v>7</v>
      </c>
      <c r="F40" s="5">
        <v>13.3</v>
      </c>
      <c r="G40" s="3" t="s">
        <v>145</v>
      </c>
      <c r="H40" s="3">
        <v>1</v>
      </c>
      <c r="I40" s="14" t="s">
        <v>159</v>
      </c>
      <c r="J40" s="5">
        <v>1</v>
      </c>
    </row>
    <row r="41" spans="1:10" x14ac:dyDescent="0.25">
      <c r="A41" s="6">
        <v>35</v>
      </c>
      <c r="B41" s="6" t="s">
        <v>30</v>
      </c>
      <c r="C41" s="4">
        <v>16.600000000000001</v>
      </c>
      <c r="D41" s="5">
        <v>18.600000000000001</v>
      </c>
      <c r="E41" s="3">
        <v>11.8</v>
      </c>
      <c r="F41" s="5">
        <v>14.1</v>
      </c>
      <c r="G41" s="3" t="s">
        <v>153</v>
      </c>
      <c r="H41" s="3">
        <v>1</v>
      </c>
      <c r="I41" s="14" t="s">
        <v>151</v>
      </c>
      <c r="J41" s="5">
        <v>0</v>
      </c>
    </row>
    <row r="42" spans="1:10" x14ac:dyDescent="0.25">
      <c r="A42" s="68">
        <v>36</v>
      </c>
      <c r="B42" s="68" t="s">
        <v>30</v>
      </c>
      <c r="C42" s="69">
        <v>14.5</v>
      </c>
      <c r="D42" s="70">
        <v>16</v>
      </c>
      <c r="E42" s="71">
        <v>10.199999999999999</v>
      </c>
      <c r="F42" s="70">
        <v>13.9</v>
      </c>
      <c r="G42" s="71" t="s">
        <v>153</v>
      </c>
      <c r="H42" s="71">
        <v>1</v>
      </c>
      <c r="I42" s="72" t="s">
        <v>143</v>
      </c>
      <c r="J42" s="70">
        <v>0</v>
      </c>
    </row>
    <row r="43" spans="1:10" x14ac:dyDescent="0.25">
      <c r="A43" s="66">
        <v>37</v>
      </c>
      <c r="B43" s="66" t="s">
        <v>30</v>
      </c>
      <c r="C43" s="67">
        <v>10</v>
      </c>
      <c r="D43" s="74">
        <v>14</v>
      </c>
      <c r="E43" s="67">
        <v>9</v>
      </c>
      <c r="F43" s="74">
        <v>13</v>
      </c>
      <c r="G43" s="67">
        <v>10</v>
      </c>
      <c r="H43" s="67">
        <v>1</v>
      </c>
      <c r="I43" s="74">
        <v>5</v>
      </c>
      <c r="J43" s="74">
        <v>0</v>
      </c>
    </row>
    <row r="44" spans="1:10" x14ac:dyDescent="0.25">
      <c r="A44" s="66">
        <v>38</v>
      </c>
      <c r="B44" s="66" t="s">
        <v>30</v>
      </c>
      <c r="C44" s="67">
        <v>9</v>
      </c>
      <c r="D44" s="74">
        <v>13</v>
      </c>
      <c r="E44" s="67">
        <v>9</v>
      </c>
      <c r="F44" s="74">
        <v>10</v>
      </c>
      <c r="G44" s="67">
        <v>10</v>
      </c>
      <c r="H44" s="67">
        <v>1</v>
      </c>
      <c r="I44" s="74">
        <v>5</v>
      </c>
      <c r="J44" s="74">
        <v>0</v>
      </c>
    </row>
    <row r="45" spans="1:10" x14ac:dyDescent="0.25">
      <c r="A45" s="66">
        <v>39</v>
      </c>
      <c r="B45" s="66" t="s">
        <v>35</v>
      </c>
      <c r="C45" s="67">
        <v>11</v>
      </c>
      <c r="D45" s="74">
        <v>14</v>
      </c>
      <c r="E45" s="67">
        <v>8</v>
      </c>
      <c r="F45" s="74">
        <v>9</v>
      </c>
      <c r="G45" s="67">
        <v>19</v>
      </c>
      <c r="H45" s="67">
        <v>1</v>
      </c>
      <c r="I45" s="74">
        <v>7</v>
      </c>
      <c r="J45" s="74">
        <v>0</v>
      </c>
    </row>
    <row r="46" spans="1:10" x14ac:dyDescent="0.25">
      <c r="A46" s="73">
        <v>40</v>
      </c>
      <c r="B46" s="73" t="s">
        <v>35</v>
      </c>
      <c r="C46" s="76">
        <v>6</v>
      </c>
      <c r="D46" s="75">
        <v>12</v>
      </c>
      <c r="E46" s="76">
        <v>12</v>
      </c>
      <c r="F46" s="75">
        <v>14</v>
      </c>
      <c r="G46" s="76">
        <v>14</v>
      </c>
      <c r="H46" s="76">
        <v>1</v>
      </c>
      <c r="I46" s="75">
        <v>4</v>
      </c>
      <c r="J46" s="75">
        <v>0</v>
      </c>
    </row>
    <row r="47" spans="1:10" x14ac:dyDescent="0.25">
      <c r="A47" s="66">
        <v>41</v>
      </c>
      <c r="B47" s="66" t="s">
        <v>30</v>
      </c>
      <c r="C47" s="67">
        <v>13</v>
      </c>
      <c r="D47" s="74">
        <v>15</v>
      </c>
      <c r="E47" s="67">
        <v>6</v>
      </c>
      <c r="F47" s="74">
        <v>6</v>
      </c>
      <c r="G47" s="67">
        <v>10</v>
      </c>
      <c r="H47" s="67">
        <v>1</v>
      </c>
      <c r="I47" s="74">
        <v>3</v>
      </c>
      <c r="J47" s="74">
        <v>0</v>
      </c>
    </row>
    <row r="51" spans="1:1" x14ac:dyDescent="0.25">
      <c r="A51" s="17" t="s">
        <v>66</v>
      </c>
    </row>
    <row r="52" spans="1:1" x14ac:dyDescent="0.25">
      <c r="A52" s="17" t="s">
        <v>67</v>
      </c>
    </row>
    <row r="53" spans="1:1" x14ac:dyDescent="0.25">
      <c r="A53" s="17" t="s">
        <v>68</v>
      </c>
    </row>
  </sheetData>
  <mergeCells count="7">
    <mergeCell ref="G4:J4"/>
    <mergeCell ref="A1:J2"/>
    <mergeCell ref="A3:J3"/>
    <mergeCell ref="C5:D5"/>
    <mergeCell ref="E5:F5"/>
    <mergeCell ref="C4:F4"/>
    <mergeCell ref="G5:J5"/>
  </mergeCells>
  <pageMargins left="0.7" right="0.7" top="0.75" bottom="0.75" header="0.3" footer="0.3"/>
  <extLst>
    <ext xmlns:x14="http://schemas.microsoft.com/office/spreadsheetml/2009/9/main" uri="{05C60535-1F16-4fd2-B633-F4F36F0B64E0}">
      <x14:sparklineGroups xmlns:xm="http://schemas.microsoft.com/office/excel/2006/main">
        <x14:sparklineGroup type="column" displayEmptyCellsAs="gap" xr2:uid="{F4D17778-30A6-419E-BB94-90E38D78F37D}">
          <x14:colorSeries rgb="FF376092"/>
          <x14:colorNegative rgb="FFD00000"/>
          <x14:colorAxis rgb="FF000000"/>
          <x14:colorMarkers rgb="FFD00000"/>
          <x14:colorFirst rgb="FFD00000"/>
          <x14:colorLast rgb="FFD00000"/>
          <x14:colorHigh rgb="FFD00000"/>
          <x14:colorLow rgb="FFD00000"/>
          <x14:sparklines>
            <x14:sparkline>
              <xm:f>BASE41!A6:A6</xm:f>
              <xm:sqref>C6</xm:sqref>
            </x14:sparkline>
          </x14:sparklines>
        </x14:sparklineGroup>
      </x14:sparklineGroup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ABAB8-35DE-4013-B204-047695C9AABA}">
  <dimension ref="A1:AP371"/>
  <sheetViews>
    <sheetView topLeftCell="A98" zoomScale="85" zoomScaleNormal="85" workbookViewId="0">
      <selection activeCell="H360" sqref="H360:H371"/>
    </sheetView>
  </sheetViews>
  <sheetFormatPr baseColWidth="10" defaultColWidth="11.42578125" defaultRowHeight="15" x14ac:dyDescent="0.25"/>
  <cols>
    <col min="7" max="7" width="19.28515625" bestFit="1" customWidth="1"/>
    <col min="8" max="8" width="22.85546875" bestFit="1" customWidth="1"/>
    <col min="9" max="9" width="12.28515625" bestFit="1" customWidth="1"/>
    <col min="10" max="10" width="12.5703125" bestFit="1" customWidth="1"/>
  </cols>
  <sheetData>
    <row r="1" spans="1:42" ht="89.25" customHeight="1" x14ac:dyDescent="0.25">
      <c r="A1" s="94" t="s">
        <v>43</v>
      </c>
      <c r="B1" s="94"/>
      <c r="C1" s="95"/>
      <c r="D1" s="95"/>
      <c r="E1" s="95"/>
      <c r="F1" s="95"/>
      <c r="G1" s="95"/>
      <c r="H1" s="95"/>
      <c r="I1" s="95"/>
      <c r="J1" s="95"/>
    </row>
    <row r="2" spans="1:42" x14ac:dyDescent="0.25">
      <c r="A2" s="2"/>
      <c r="B2" s="2"/>
      <c r="C2" s="96" t="s">
        <v>44</v>
      </c>
      <c r="D2" s="96"/>
      <c r="E2" s="96"/>
      <c r="F2" s="96"/>
      <c r="G2" s="97"/>
      <c r="H2" s="98"/>
      <c r="I2" s="98"/>
      <c r="J2" s="99"/>
    </row>
    <row r="3" spans="1:42" x14ac:dyDescent="0.25">
      <c r="A3" s="2"/>
      <c r="B3" s="2"/>
      <c r="C3" s="90"/>
      <c r="D3" s="91"/>
      <c r="E3" s="92" t="s">
        <v>33</v>
      </c>
      <c r="F3" s="92"/>
      <c r="G3" s="100" t="s">
        <v>38</v>
      </c>
      <c r="H3" s="100"/>
      <c r="I3" s="100"/>
      <c r="J3" s="100"/>
    </row>
    <row r="4" spans="1:42" x14ac:dyDescent="0.25">
      <c r="A4" s="11" t="s">
        <v>45</v>
      </c>
      <c r="B4" s="16" t="s">
        <v>46</v>
      </c>
      <c r="C4" s="8" t="s">
        <v>20</v>
      </c>
      <c r="D4" s="15" t="s">
        <v>28</v>
      </c>
      <c r="E4" s="8" t="s">
        <v>34</v>
      </c>
      <c r="F4" s="9" t="s">
        <v>28</v>
      </c>
      <c r="G4" s="8" t="s">
        <v>20</v>
      </c>
      <c r="H4" s="7" t="s">
        <v>13</v>
      </c>
      <c r="I4" s="15" t="s">
        <v>28</v>
      </c>
      <c r="J4" s="9" t="s">
        <v>13</v>
      </c>
      <c r="L4" t="s">
        <v>47</v>
      </c>
      <c r="V4" t="s">
        <v>48</v>
      </c>
      <c r="AH4" s="20"/>
      <c r="AI4" t="s">
        <v>4</v>
      </c>
      <c r="AJ4" t="s">
        <v>5</v>
      </c>
      <c r="AK4" t="s">
        <v>6</v>
      </c>
      <c r="AL4" t="s">
        <v>7</v>
      </c>
      <c r="AM4" t="s">
        <v>8</v>
      </c>
      <c r="AN4" t="s">
        <v>9</v>
      </c>
      <c r="AO4" s="19" t="s">
        <v>10</v>
      </c>
      <c r="AP4" t="s">
        <v>11</v>
      </c>
    </row>
    <row r="5" spans="1:42" x14ac:dyDescent="0.25">
      <c r="A5" s="6">
        <v>1</v>
      </c>
      <c r="B5" s="6" t="s">
        <v>30</v>
      </c>
      <c r="C5" s="23">
        <v>12.6</v>
      </c>
      <c r="D5" s="10">
        <v>13.8</v>
      </c>
      <c r="E5" s="4">
        <v>10.6</v>
      </c>
      <c r="F5" s="5">
        <v>11.3</v>
      </c>
      <c r="G5" s="3">
        <v>18</v>
      </c>
      <c r="H5" s="3">
        <v>1</v>
      </c>
      <c r="I5" s="5">
        <v>1</v>
      </c>
      <c r="J5" s="5">
        <v>0</v>
      </c>
      <c r="AG5" s="119" t="s">
        <v>19</v>
      </c>
      <c r="AH5" s="20" t="s">
        <v>20</v>
      </c>
      <c r="AI5">
        <v>36</v>
      </c>
      <c r="AJ5" s="27">
        <v>15.111111111111114</v>
      </c>
      <c r="AK5" s="27">
        <v>0.4012634367582118</v>
      </c>
      <c r="AL5" s="27">
        <v>15.6</v>
      </c>
      <c r="AM5" s="27">
        <v>19.5</v>
      </c>
      <c r="AN5" s="27">
        <v>9.1</v>
      </c>
      <c r="AO5" s="19">
        <v>2.8499999999999996</v>
      </c>
      <c r="AP5" s="25">
        <v>0.2706189568454751</v>
      </c>
    </row>
    <row r="6" spans="1:42" x14ac:dyDescent="0.25">
      <c r="A6" s="6">
        <v>2</v>
      </c>
      <c r="B6" s="6" t="s">
        <v>30</v>
      </c>
      <c r="C6" s="24">
        <v>16.5</v>
      </c>
      <c r="D6" s="5">
        <v>19.3</v>
      </c>
      <c r="E6" s="3">
        <v>7.9</v>
      </c>
      <c r="F6" s="5">
        <v>9.6</v>
      </c>
      <c r="G6" s="3">
        <v>16</v>
      </c>
      <c r="H6" s="3">
        <v>1</v>
      </c>
      <c r="I6" s="5">
        <v>0</v>
      </c>
      <c r="J6" s="5">
        <v>0</v>
      </c>
      <c r="L6" s="20"/>
      <c r="M6" s="20" t="str">
        <f>C4</f>
        <v>ANTES</v>
      </c>
      <c r="N6" s="20" t="str">
        <f t="shared" ref="N6:T6" si="0">D4</f>
        <v>DESPUÉS</v>
      </c>
      <c r="O6" s="20" t="str">
        <f t="shared" si="0"/>
        <v xml:space="preserve">ANTES </v>
      </c>
      <c r="P6" s="20" t="str">
        <f t="shared" si="0"/>
        <v>DESPUÉS</v>
      </c>
      <c r="Q6" s="20" t="str">
        <f t="shared" si="0"/>
        <v>ANTES</v>
      </c>
      <c r="R6" s="20" t="str">
        <f t="shared" si="0"/>
        <v>PUNTAJE</v>
      </c>
      <c r="S6" s="20" t="str">
        <f t="shared" si="0"/>
        <v>DESPUÉS</v>
      </c>
      <c r="T6" s="20" t="str">
        <f t="shared" si="0"/>
        <v>PUNTAJE</v>
      </c>
      <c r="V6" s="20"/>
      <c r="W6" s="20" t="str">
        <f>C4</f>
        <v>ANTES</v>
      </c>
      <c r="X6" s="20" t="str">
        <f t="shared" ref="X6:AD6" si="1">D4</f>
        <v>DESPUÉS</v>
      </c>
      <c r="Y6" s="20" t="str">
        <f t="shared" si="1"/>
        <v xml:space="preserve">ANTES </v>
      </c>
      <c r="Z6" s="20" t="str">
        <f t="shared" si="1"/>
        <v>DESPUÉS</v>
      </c>
      <c r="AA6" s="20" t="str">
        <f t="shared" si="1"/>
        <v>ANTES</v>
      </c>
      <c r="AB6" s="20" t="str">
        <f t="shared" si="1"/>
        <v>PUNTAJE</v>
      </c>
      <c r="AC6" s="20" t="str">
        <f t="shared" si="1"/>
        <v>DESPUÉS</v>
      </c>
      <c r="AD6" s="20" t="str">
        <f t="shared" si="1"/>
        <v>PUNTAJE</v>
      </c>
      <c r="AG6" s="120"/>
      <c r="AH6" s="20" t="s">
        <v>28</v>
      </c>
      <c r="AI6">
        <v>36</v>
      </c>
      <c r="AJ6" s="27">
        <v>18.074999999999999</v>
      </c>
      <c r="AK6" s="27">
        <v>0.50507543048161663</v>
      </c>
      <c r="AL6" s="27">
        <v>18</v>
      </c>
      <c r="AM6" s="27">
        <v>26.9</v>
      </c>
      <c r="AN6" s="27">
        <v>10.5</v>
      </c>
      <c r="AO6" s="19">
        <v>3.5500000000000043</v>
      </c>
      <c r="AP6" s="25">
        <v>0.25046604974884112</v>
      </c>
    </row>
    <row r="7" spans="1:42" x14ac:dyDescent="0.25">
      <c r="A7" s="6">
        <v>3</v>
      </c>
      <c r="B7" s="6" t="s">
        <v>30</v>
      </c>
      <c r="C7" s="24">
        <v>12</v>
      </c>
      <c r="D7" s="5">
        <v>21</v>
      </c>
      <c r="E7" s="4">
        <v>7.3</v>
      </c>
      <c r="F7" s="5">
        <v>10.1</v>
      </c>
      <c r="G7" s="3">
        <v>16</v>
      </c>
      <c r="H7" s="3">
        <v>1</v>
      </c>
      <c r="I7" s="5">
        <v>0</v>
      </c>
      <c r="J7" s="5">
        <v>0</v>
      </c>
      <c r="L7" t="s">
        <v>5</v>
      </c>
      <c r="M7">
        <f>AVERAGE(C5:C40)</f>
        <v>15.111111111111114</v>
      </c>
      <c r="N7">
        <f t="shared" ref="N7:T7" si="2">AVERAGE(D5:D40)</f>
        <v>18.074999999999999</v>
      </c>
      <c r="O7">
        <f t="shared" si="2"/>
        <v>10.597222222222221</v>
      </c>
      <c r="P7">
        <f t="shared" si="2"/>
        <v>13.049999999999999</v>
      </c>
      <c r="Q7">
        <f t="shared" si="2"/>
        <v>16.777777777777779</v>
      </c>
      <c r="R7">
        <f t="shared" si="2"/>
        <v>1</v>
      </c>
      <c r="S7">
        <f t="shared" si="2"/>
        <v>1.9722222222222223</v>
      </c>
      <c r="T7">
        <f t="shared" si="2"/>
        <v>0.1111111111111111</v>
      </c>
      <c r="V7" t="s">
        <v>49</v>
      </c>
      <c r="W7">
        <f>[1]!SHAPIRO(C5:C40)</f>
        <v>0.96327049582936786</v>
      </c>
      <c r="X7">
        <f>[1]!SHAPIRO(D5:D40)</f>
        <v>0.9621636650649884</v>
      </c>
      <c r="Y7">
        <f>[1]!SHAPIRO(E5:E40)</f>
        <v>0.94238797272975983</v>
      </c>
      <c r="Z7">
        <f>[1]!SHAPIRO(F5:F40)</f>
        <v>0.90930408666815499</v>
      </c>
      <c r="AA7">
        <f>[1]!SHAPIRO(G5:G40)</f>
        <v>0.89210257647936797</v>
      </c>
      <c r="AB7" t="e">
        <f>[1]!SHAPIRO(H5:H40)</f>
        <v>#VALUE!</v>
      </c>
      <c r="AC7">
        <f>[1]!SHAPIRO(I5:I40)</f>
        <v>0.7095237582674484</v>
      </c>
      <c r="AD7">
        <f>[1]!SHAPIRO(J5:J40)</f>
        <v>0.36602746171318135</v>
      </c>
      <c r="AG7" s="121" t="s">
        <v>33</v>
      </c>
      <c r="AH7" s="20" t="s">
        <v>34</v>
      </c>
      <c r="AI7">
        <v>36</v>
      </c>
      <c r="AJ7" s="27">
        <v>10.597222222222221</v>
      </c>
      <c r="AK7" s="27">
        <v>0.55785140695337454</v>
      </c>
      <c r="AL7" s="27">
        <v>10.1</v>
      </c>
      <c r="AM7" s="27">
        <v>17</v>
      </c>
      <c r="AN7" s="27">
        <v>5.2</v>
      </c>
      <c r="AO7" s="19">
        <v>5.4500000000000011</v>
      </c>
      <c r="AP7" s="25">
        <v>6.030445683579011E-2</v>
      </c>
    </row>
    <row r="8" spans="1:42" x14ac:dyDescent="0.25">
      <c r="A8" s="6">
        <v>4</v>
      </c>
      <c r="B8" s="6" t="s">
        <v>35</v>
      </c>
      <c r="C8" s="24">
        <v>13.8</v>
      </c>
      <c r="D8" s="5">
        <v>19</v>
      </c>
      <c r="E8" s="3">
        <v>8.9</v>
      </c>
      <c r="F8" s="5">
        <v>10</v>
      </c>
      <c r="G8" s="18">
        <v>21</v>
      </c>
      <c r="H8" s="3">
        <v>1</v>
      </c>
      <c r="I8" s="5">
        <v>0</v>
      </c>
      <c r="J8" s="5">
        <v>0</v>
      </c>
      <c r="L8" t="s">
        <v>6</v>
      </c>
      <c r="M8">
        <f>_xlfn.STDEV.S(C5:C40)/SQRT(COUNT(C5:C40))</f>
        <v>0.4012634367582118</v>
      </c>
      <c r="N8">
        <f t="shared" ref="N8:T8" si="3">_xlfn.STDEV.S(D5:D40)/SQRT(COUNT(D5:D40))</f>
        <v>0.50507543048161663</v>
      </c>
      <c r="O8">
        <f t="shared" si="3"/>
        <v>0.55785140695337454</v>
      </c>
      <c r="P8">
        <f t="shared" si="3"/>
        <v>0.5225016138807016</v>
      </c>
      <c r="Q8">
        <f t="shared" si="3"/>
        <v>0.54059213729624844</v>
      </c>
      <c r="R8">
        <f t="shared" si="3"/>
        <v>0</v>
      </c>
      <c r="S8">
        <f t="shared" si="3"/>
        <v>0.48548145161160022</v>
      </c>
      <c r="T8">
        <f t="shared" si="3"/>
        <v>5.3121271525973048E-2</v>
      </c>
      <c r="V8" t="s">
        <v>23</v>
      </c>
      <c r="W8">
        <f>[1]!SWTEST(C5:C40)</f>
        <v>0.2706189568454751</v>
      </c>
      <c r="X8">
        <f>[1]!SWTEST(D5:D40)</f>
        <v>0.25046604974884112</v>
      </c>
      <c r="Y8">
        <f>[1]!SWTEST(E5:E40)</f>
        <v>6.030445683579011E-2</v>
      </c>
      <c r="Z8">
        <f>[1]!SWTEST(F5:F40)</f>
        <v>6.1905167776105108E-3</v>
      </c>
      <c r="AA8">
        <f>[1]!SWTEST(G5:G40)</f>
        <v>2.0900494547928528E-3</v>
      </c>
      <c r="AB8" t="e">
        <f>[1]!SWTEST(H5:H40)</f>
        <v>#VALUE!</v>
      </c>
      <c r="AC8">
        <f>[1]!SWTEST(I5:I40)</f>
        <v>4.0059654926594135E-7</v>
      </c>
      <c r="AD8">
        <f>[1]!SWTEST(J5:J40)</f>
        <v>2.5653257296198717E-11</v>
      </c>
      <c r="AG8" s="121"/>
      <c r="AH8" s="20" t="s">
        <v>28</v>
      </c>
      <c r="AI8">
        <v>36</v>
      </c>
      <c r="AJ8" s="27">
        <v>13.049999999999999</v>
      </c>
      <c r="AK8" s="27">
        <v>0.5225016138807016</v>
      </c>
      <c r="AL8" s="27">
        <v>13.2</v>
      </c>
      <c r="AM8" s="27">
        <v>19.3</v>
      </c>
      <c r="AN8" s="27">
        <v>9.1</v>
      </c>
      <c r="AO8" s="19">
        <v>5.0500000000000007</v>
      </c>
      <c r="AP8" s="25">
        <v>6.1905167776105108E-3</v>
      </c>
    </row>
    <row r="9" spans="1:42" x14ac:dyDescent="0.25">
      <c r="A9" s="6">
        <v>5</v>
      </c>
      <c r="B9" s="6" t="s">
        <v>30</v>
      </c>
      <c r="C9" s="24">
        <v>13.4</v>
      </c>
      <c r="D9" s="5">
        <v>15.9</v>
      </c>
      <c r="E9" s="3">
        <v>7.6</v>
      </c>
      <c r="F9" s="5">
        <v>10.4</v>
      </c>
      <c r="G9" s="3">
        <v>19</v>
      </c>
      <c r="H9" s="3">
        <v>1</v>
      </c>
      <c r="I9" s="5">
        <v>1</v>
      </c>
      <c r="J9" s="5">
        <v>0</v>
      </c>
      <c r="L9" t="s">
        <v>7</v>
      </c>
      <c r="M9">
        <f>MEDIAN(C5:C40)</f>
        <v>15.6</v>
      </c>
      <c r="N9">
        <f t="shared" ref="N9:T9" si="4">MEDIAN(D5:D40)</f>
        <v>18</v>
      </c>
      <c r="O9">
        <f t="shared" si="4"/>
        <v>10.1</v>
      </c>
      <c r="P9">
        <f t="shared" si="4"/>
        <v>13.2</v>
      </c>
      <c r="Q9">
        <f t="shared" si="4"/>
        <v>17</v>
      </c>
      <c r="R9">
        <f t="shared" si="4"/>
        <v>1</v>
      </c>
      <c r="S9">
        <f t="shared" si="4"/>
        <v>1</v>
      </c>
      <c r="T9">
        <f t="shared" si="4"/>
        <v>0</v>
      </c>
      <c r="V9" t="s">
        <v>50</v>
      </c>
      <c r="W9">
        <v>0.05</v>
      </c>
      <c r="X9">
        <v>0.05</v>
      </c>
      <c r="Y9">
        <v>0.05</v>
      </c>
      <c r="Z9">
        <v>0.05</v>
      </c>
      <c r="AA9">
        <v>0.05</v>
      </c>
      <c r="AB9">
        <v>0.05</v>
      </c>
      <c r="AC9">
        <v>0.05</v>
      </c>
      <c r="AD9">
        <v>0.05</v>
      </c>
      <c r="AG9" s="122" t="s">
        <v>38</v>
      </c>
      <c r="AH9" s="20" t="s">
        <v>20</v>
      </c>
      <c r="AI9">
        <v>36</v>
      </c>
      <c r="AJ9" s="27">
        <v>16.777777777777779</v>
      </c>
      <c r="AK9" s="27">
        <v>0.54059213729624844</v>
      </c>
      <c r="AL9" s="27">
        <v>17</v>
      </c>
      <c r="AM9" s="27">
        <v>21</v>
      </c>
      <c r="AN9" s="27">
        <v>12</v>
      </c>
      <c r="AO9" s="19">
        <v>6.25</v>
      </c>
      <c r="AP9" s="25">
        <v>2.0900494547928528E-3</v>
      </c>
    </row>
    <row r="10" spans="1:42" x14ac:dyDescent="0.25">
      <c r="A10" s="6">
        <v>6</v>
      </c>
      <c r="B10" s="6" t="s">
        <v>30</v>
      </c>
      <c r="C10" s="24">
        <v>11.3</v>
      </c>
      <c r="D10" s="5">
        <v>16.399999999999999</v>
      </c>
      <c r="E10" s="3">
        <v>9.1</v>
      </c>
      <c r="F10" s="5">
        <v>10.3</v>
      </c>
      <c r="G10" s="3">
        <v>16</v>
      </c>
      <c r="H10" s="3">
        <v>1</v>
      </c>
      <c r="I10" s="5">
        <v>0</v>
      </c>
      <c r="J10" s="5">
        <v>0</v>
      </c>
      <c r="L10" t="s">
        <v>51</v>
      </c>
      <c r="M10">
        <f>MODE(C5:C40)</f>
        <v>16.5</v>
      </c>
      <c r="N10">
        <f t="shared" ref="N10:T10" si="5">MODE(D5:D40)</f>
        <v>19.3</v>
      </c>
      <c r="O10">
        <f t="shared" si="5"/>
        <v>7.9</v>
      </c>
      <c r="P10">
        <f t="shared" si="5"/>
        <v>11.3</v>
      </c>
      <c r="Q10">
        <f t="shared" si="5"/>
        <v>20</v>
      </c>
      <c r="R10">
        <f t="shared" si="5"/>
        <v>1</v>
      </c>
      <c r="S10">
        <f t="shared" si="5"/>
        <v>0</v>
      </c>
      <c r="T10">
        <f t="shared" si="5"/>
        <v>0</v>
      </c>
      <c r="V10" s="19" t="s">
        <v>52</v>
      </c>
      <c r="W10" s="21" t="str">
        <f>IF(W8&lt;W9,"no","yes")</f>
        <v>yes</v>
      </c>
      <c r="X10" s="21" t="str">
        <f t="shared" ref="X10:AD10" si="6">IF(X8&lt;X9,"no","yes")</f>
        <v>yes</v>
      </c>
      <c r="Y10" s="21" t="str">
        <f t="shared" si="6"/>
        <v>yes</v>
      </c>
      <c r="Z10" s="21" t="str">
        <f t="shared" si="6"/>
        <v>no</v>
      </c>
      <c r="AA10" s="21" t="str">
        <f t="shared" si="6"/>
        <v>no</v>
      </c>
      <c r="AB10" s="21" t="e">
        <f t="shared" si="6"/>
        <v>#VALUE!</v>
      </c>
      <c r="AC10" s="21" t="str">
        <f t="shared" si="6"/>
        <v>no</v>
      </c>
      <c r="AD10" s="21" t="str">
        <f t="shared" si="6"/>
        <v>no</v>
      </c>
      <c r="AG10" s="122"/>
      <c r="AH10" s="20" t="s">
        <v>13</v>
      </c>
      <c r="AI10">
        <v>36</v>
      </c>
      <c r="AJ10" s="27">
        <v>1</v>
      </c>
      <c r="AK10" s="27">
        <v>0</v>
      </c>
      <c r="AL10" s="27">
        <v>1</v>
      </c>
      <c r="AM10" s="27">
        <v>1</v>
      </c>
      <c r="AN10" s="27">
        <v>1</v>
      </c>
      <c r="AO10" s="19">
        <v>0</v>
      </c>
      <c r="AP10" s="25" t="s">
        <v>40</v>
      </c>
    </row>
    <row r="11" spans="1:42" x14ac:dyDescent="0.25">
      <c r="A11" s="6">
        <v>7</v>
      </c>
      <c r="B11" s="6" t="s">
        <v>30</v>
      </c>
      <c r="C11" s="24">
        <v>12</v>
      </c>
      <c r="D11" s="5">
        <v>20.6</v>
      </c>
      <c r="E11" s="3">
        <v>9.4</v>
      </c>
      <c r="F11" s="5">
        <v>10.1</v>
      </c>
      <c r="G11" s="3">
        <v>16</v>
      </c>
      <c r="H11" s="3">
        <v>1</v>
      </c>
      <c r="I11" s="5">
        <v>0</v>
      </c>
      <c r="J11" s="5">
        <v>0</v>
      </c>
      <c r="L11" t="s">
        <v>53</v>
      </c>
      <c r="M11">
        <f>_xlfn.STDEV.S(C5:C40)</f>
        <v>2.4075806205492709</v>
      </c>
      <c r="N11">
        <f t="shared" ref="N11:T11" si="7">_xlfn.STDEV.S(D5:D40)</f>
        <v>3.0304525828896995</v>
      </c>
      <c r="O11">
        <f t="shared" si="7"/>
        <v>3.347108441720247</v>
      </c>
      <c r="P11">
        <f t="shared" si="7"/>
        <v>3.1350096832842098</v>
      </c>
      <c r="Q11">
        <f t="shared" si="7"/>
        <v>3.2435528237774904</v>
      </c>
      <c r="R11">
        <f t="shared" si="7"/>
        <v>0</v>
      </c>
      <c r="S11">
        <f t="shared" si="7"/>
        <v>2.9128887096696015</v>
      </c>
      <c r="T11">
        <f t="shared" si="7"/>
        <v>0.3187276291558383</v>
      </c>
      <c r="AG11" s="122"/>
      <c r="AH11" s="20" t="s">
        <v>28</v>
      </c>
      <c r="AI11">
        <v>36</v>
      </c>
      <c r="AJ11" s="27">
        <v>1.9722222222222223</v>
      </c>
      <c r="AK11" s="27">
        <v>0.48548145161160022</v>
      </c>
      <c r="AL11" s="27">
        <v>1</v>
      </c>
      <c r="AM11" s="27">
        <v>10</v>
      </c>
      <c r="AN11" s="27">
        <v>0</v>
      </c>
      <c r="AO11" s="19">
        <v>2.25</v>
      </c>
      <c r="AP11" s="25">
        <v>4.0059654926594135E-7</v>
      </c>
    </row>
    <row r="12" spans="1:42" x14ac:dyDescent="0.25">
      <c r="A12" s="6">
        <v>8</v>
      </c>
      <c r="B12" s="6" t="s">
        <v>35</v>
      </c>
      <c r="C12" s="24">
        <v>16.100000000000001</v>
      </c>
      <c r="D12" s="5">
        <v>15.6</v>
      </c>
      <c r="E12" s="3">
        <v>10.199999999999999</v>
      </c>
      <c r="F12" s="5">
        <v>9.9</v>
      </c>
      <c r="G12" s="3">
        <v>18</v>
      </c>
      <c r="H12" s="3">
        <v>1</v>
      </c>
      <c r="I12" s="5">
        <v>2</v>
      </c>
      <c r="J12" s="5">
        <v>0</v>
      </c>
      <c r="L12" t="s">
        <v>54</v>
      </c>
      <c r="M12">
        <f>_xlfn.VAR.S(C5:C40)</f>
        <v>5.796444444444413</v>
      </c>
      <c r="N12">
        <f t="shared" ref="N12:T12" si="8">_xlfn.VAR.S(D5:D40)</f>
        <v>9.1836428571428517</v>
      </c>
      <c r="O12">
        <f t="shared" si="8"/>
        <v>11.203134920634939</v>
      </c>
      <c r="P12">
        <f t="shared" si="8"/>
        <v>9.8282857142857605</v>
      </c>
      <c r="Q12">
        <f t="shared" si="8"/>
        <v>10.520634920634933</v>
      </c>
      <c r="R12">
        <f t="shared" si="8"/>
        <v>0</v>
      </c>
      <c r="S12">
        <f t="shared" si="8"/>
        <v>8.4849206349206359</v>
      </c>
      <c r="T12">
        <f t="shared" si="8"/>
        <v>0.10158730158730159</v>
      </c>
      <c r="V12" t="s">
        <v>55</v>
      </c>
      <c r="AG12" s="122"/>
      <c r="AH12" s="20" t="s">
        <v>13</v>
      </c>
      <c r="AI12">
        <v>36</v>
      </c>
      <c r="AJ12" s="27">
        <v>0.1111111111111111</v>
      </c>
      <c r="AK12" s="27">
        <v>5.3121271525973048E-2</v>
      </c>
      <c r="AL12" s="27">
        <v>0</v>
      </c>
      <c r="AM12" s="27">
        <v>1</v>
      </c>
      <c r="AN12" s="27">
        <v>0</v>
      </c>
      <c r="AO12" s="19">
        <v>0</v>
      </c>
      <c r="AP12" s="25">
        <v>2.5653257296198717E-11</v>
      </c>
    </row>
    <row r="13" spans="1:42" x14ac:dyDescent="0.25">
      <c r="A13" s="6">
        <v>9</v>
      </c>
      <c r="B13" s="6" t="s">
        <v>30</v>
      </c>
      <c r="C13" s="24">
        <v>16.8</v>
      </c>
      <c r="D13" s="5">
        <v>18.100000000000001</v>
      </c>
      <c r="E13" s="3">
        <v>8.1999999999999993</v>
      </c>
      <c r="F13" s="5">
        <v>9.4</v>
      </c>
      <c r="G13" s="3">
        <v>13</v>
      </c>
      <c r="H13" s="3">
        <v>1</v>
      </c>
      <c r="I13" s="5">
        <v>1</v>
      </c>
      <c r="J13" s="5">
        <v>0</v>
      </c>
      <c r="L13" t="s">
        <v>56</v>
      </c>
      <c r="M13">
        <f>KURT(C5:C40)</f>
        <v>0.22774704769378751</v>
      </c>
      <c r="N13">
        <f t="shared" ref="N13:T13" si="9">KURT(D5:D40)</f>
        <v>1.8508292393365799</v>
      </c>
      <c r="O13">
        <f t="shared" si="9"/>
        <v>-0.81797933783803911</v>
      </c>
      <c r="P13">
        <f t="shared" si="9"/>
        <v>-1.2448760044087739</v>
      </c>
      <c r="Q13">
        <f t="shared" si="9"/>
        <v>-1.4738063215440806</v>
      </c>
      <c r="R13" t="e">
        <f t="shared" si="9"/>
        <v>#DIV/0!</v>
      </c>
      <c r="S13">
        <f t="shared" si="9"/>
        <v>1.4040617573372929</v>
      </c>
      <c r="T13">
        <f t="shared" si="9"/>
        <v>4.9481951871657746</v>
      </c>
    </row>
    <row r="14" spans="1:42" x14ac:dyDescent="0.25">
      <c r="A14" s="6">
        <v>10</v>
      </c>
      <c r="B14" s="6" t="s">
        <v>30</v>
      </c>
      <c r="C14" s="24">
        <v>16.2</v>
      </c>
      <c r="D14" s="5">
        <v>23.8</v>
      </c>
      <c r="E14" s="3">
        <v>7.9</v>
      </c>
      <c r="F14" s="5">
        <v>15</v>
      </c>
      <c r="G14" s="3">
        <v>19</v>
      </c>
      <c r="H14" s="3">
        <v>1</v>
      </c>
      <c r="I14" s="5">
        <v>0</v>
      </c>
      <c r="J14" s="5">
        <v>0</v>
      </c>
      <c r="L14" t="s">
        <v>57</v>
      </c>
      <c r="M14">
        <f>SKEW(C5:C40)</f>
        <v>-0.54939196234640064</v>
      </c>
      <c r="N14">
        <f t="shared" ref="N14:T14" si="10">SKEW(D5:D40)</f>
        <v>0.17211330483676873</v>
      </c>
      <c r="O14">
        <f t="shared" si="10"/>
        <v>0.43779385784770197</v>
      </c>
      <c r="P14">
        <f t="shared" si="10"/>
        <v>0.33554926997511825</v>
      </c>
      <c r="Q14">
        <f t="shared" si="10"/>
        <v>-0.17741511206759461</v>
      </c>
      <c r="R14" t="e">
        <f t="shared" si="10"/>
        <v>#DIV/0!</v>
      </c>
      <c r="S14">
        <f t="shared" si="10"/>
        <v>1.5933490810684972</v>
      </c>
      <c r="T14">
        <f t="shared" si="10"/>
        <v>2.5838030231199385</v>
      </c>
      <c r="V14" s="22" t="s">
        <v>58</v>
      </c>
      <c r="W14" s="22">
        <f>[1]!DAGOSTINO(C5:C40)</f>
        <v>2.315039312317575</v>
      </c>
      <c r="X14" s="22">
        <f>[1]!DAGOSTINO(D5:D40)</f>
        <v>3.8954068423386681</v>
      </c>
      <c r="Y14" s="22">
        <f>[1]!DAGOSTINO(E5:E40)</f>
        <v>3.1823248685866723</v>
      </c>
      <c r="Z14" s="22">
        <f>[1]!DAGOSTINO(F5:F40)</f>
        <v>9.0816431026730307</v>
      </c>
      <c r="AA14" s="22">
        <f>[1]!DAGOSTINO(G5:G40)</f>
        <v>17.812360216685647</v>
      </c>
      <c r="AB14" s="22" t="e">
        <f>[1]!DAGOSTINO(H5:H40)</f>
        <v>#VALUE!</v>
      </c>
      <c r="AC14" s="22">
        <f>[1]!DAGOSTINO(I5:I40)</f>
        <v>14.677769656704058</v>
      </c>
      <c r="AD14" s="22">
        <f>[1]!DAGOSTINO(J5:J40)</f>
        <v>32.585169618225912</v>
      </c>
    </row>
    <row r="15" spans="1:42" x14ac:dyDescent="0.25">
      <c r="A15" s="6">
        <v>11</v>
      </c>
      <c r="B15" s="6" t="s">
        <v>30</v>
      </c>
      <c r="C15" s="24">
        <v>17.8</v>
      </c>
      <c r="D15" s="5">
        <v>19.3</v>
      </c>
      <c r="E15" s="3">
        <v>10</v>
      </c>
      <c r="F15" s="5">
        <v>11.1</v>
      </c>
      <c r="G15" s="3">
        <v>14</v>
      </c>
      <c r="H15" s="3">
        <v>1</v>
      </c>
      <c r="I15" s="5">
        <v>0</v>
      </c>
      <c r="J15" s="5">
        <v>0</v>
      </c>
      <c r="L15" t="s">
        <v>59</v>
      </c>
      <c r="M15">
        <f>M16-M17</f>
        <v>10.4</v>
      </c>
      <c r="N15">
        <f t="shared" ref="N15:T15" si="11">N16-N17</f>
        <v>16.399999999999999</v>
      </c>
      <c r="O15">
        <f t="shared" si="11"/>
        <v>11.8</v>
      </c>
      <c r="P15">
        <f t="shared" si="11"/>
        <v>10.200000000000001</v>
      </c>
      <c r="Q15">
        <f t="shared" si="11"/>
        <v>9</v>
      </c>
      <c r="R15">
        <f t="shared" si="11"/>
        <v>0</v>
      </c>
      <c r="S15">
        <f t="shared" si="11"/>
        <v>10</v>
      </c>
      <c r="T15">
        <f t="shared" si="11"/>
        <v>1</v>
      </c>
      <c r="V15" t="s">
        <v>23</v>
      </c>
      <c r="W15">
        <f>[1]!DPTEST(C5:C40)</f>
        <v>0.31426469949846236</v>
      </c>
      <c r="X15">
        <f>[1]!DPTEST(D5:D40)</f>
        <v>0.14260119069110089</v>
      </c>
      <c r="Y15">
        <f>[1]!DPTEST(E5:E40)</f>
        <v>0.20368869933407063</v>
      </c>
      <c r="Z15">
        <f>[1]!DPTEST(F5:F40)</f>
        <v>1.0664641403107189E-2</v>
      </c>
      <c r="AA15">
        <f>[1]!DPTEST(G5:G40)</f>
        <v>1.3554862738385243E-4</v>
      </c>
      <c r="AB15" t="e">
        <f>[1]!DPTEST(H5:H40)</f>
        <v>#VALUE!</v>
      </c>
      <c r="AC15">
        <f>[1]!DPTEST(I5:I40)</f>
        <v>6.4977472741545306E-4</v>
      </c>
      <c r="AD15">
        <f>[1]!DPTEST(J5:J40)</f>
        <v>8.3988595966921764E-8</v>
      </c>
    </row>
    <row r="16" spans="1:42" x14ac:dyDescent="0.25">
      <c r="A16" s="6">
        <v>12</v>
      </c>
      <c r="B16" s="6" t="s">
        <v>35</v>
      </c>
      <c r="C16" s="24">
        <v>15.2</v>
      </c>
      <c r="D16" s="5">
        <v>26.9</v>
      </c>
      <c r="E16" s="3">
        <v>5.2</v>
      </c>
      <c r="F16" s="5">
        <v>12.3</v>
      </c>
      <c r="G16" s="3">
        <v>13</v>
      </c>
      <c r="H16" s="3">
        <v>1</v>
      </c>
      <c r="I16" s="5">
        <v>0</v>
      </c>
      <c r="J16" s="5">
        <v>0</v>
      </c>
      <c r="L16" t="s">
        <v>8</v>
      </c>
      <c r="M16">
        <f>MAX(C5:C40)</f>
        <v>19.5</v>
      </c>
      <c r="N16">
        <f t="shared" ref="N16:T16" si="12">MAX(D5:D40)</f>
        <v>26.9</v>
      </c>
      <c r="O16">
        <f t="shared" si="12"/>
        <v>17</v>
      </c>
      <c r="P16">
        <f t="shared" si="12"/>
        <v>19.3</v>
      </c>
      <c r="Q16">
        <f t="shared" si="12"/>
        <v>21</v>
      </c>
      <c r="R16">
        <f t="shared" si="12"/>
        <v>1</v>
      </c>
      <c r="S16">
        <f t="shared" si="12"/>
        <v>10</v>
      </c>
      <c r="T16">
        <f t="shared" si="12"/>
        <v>1</v>
      </c>
      <c r="V16" t="s">
        <v>50</v>
      </c>
      <c r="W16">
        <v>0.05</v>
      </c>
      <c r="X16">
        <v>0.05</v>
      </c>
      <c r="Y16">
        <v>0.05</v>
      </c>
      <c r="Z16">
        <v>0.05</v>
      </c>
      <c r="AA16">
        <v>0.05</v>
      </c>
      <c r="AB16">
        <v>0.05</v>
      </c>
      <c r="AC16">
        <v>0.05</v>
      </c>
      <c r="AD16">
        <v>0.05</v>
      </c>
    </row>
    <row r="17" spans="1:30" x14ac:dyDescent="0.25">
      <c r="A17" s="6">
        <v>13</v>
      </c>
      <c r="B17" s="6" t="s">
        <v>30</v>
      </c>
      <c r="C17" s="24">
        <v>15.7</v>
      </c>
      <c r="D17" s="5">
        <v>17.399999999999999</v>
      </c>
      <c r="E17" s="3">
        <v>5.6</v>
      </c>
      <c r="F17" s="5">
        <v>9.9</v>
      </c>
      <c r="G17" s="3">
        <v>12</v>
      </c>
      <c r="H17" s="3">
        <v>1</v>
      </c>
      <c r="I17" s="5">
        <v>0</v>
      </c>
      <c r="J17" s="5">
        <v>0</v>
      </c>
      <c r="L17" t="s">
        <v>9</v>
      </c>
      <c r="M17">
        <f>MIN(C5:C40)</f>
        <v>9.1</v>
      </c>
      <c r="N17">
        <f t="shared" ref="N17:T17" si="13">MIN(D5:D40)</f>
        <v>10.5</v>
      </c>
      <c r="O17">
        <f t="shared" si="13"/>
        <v>5.2</v>
      </c>
      <c r="P17">
        <f t="shared" si="13"/>
        <v>9.1</v>
      </c>
      <c r="Q17">
        <f t="shared" si="13"/>
        <v>12</v>
      </c>
      <c r="R17">
        <f t="shared" si="13"/>
        <v>1</v>
      </c>
      <c r="S17">
        <f t="shared" si="13"/>
        <v>0</v>
      </c>
      <c r="T17">
        <f t="shared" si="13"/>
        <v>0</v>
      </c>
      <c r="V17" s="19" t="s">
        <v>52</v>
      </c>
      <c r="W17" s="21" t="str">
        <f>IF(W15&lt;W16,"no","yes")</f>
        <v>yes</v>
      </c>
      <c r="X17" s="21" t="str">
        <f t="shared" ref="X17:AD17" si="14">IF(X15&lt;X16,"no","yes")</f>
        <v>yes</v>
      </c>
      <c r="Y17" s="21" t="str">
        <f t="shared" si="14"/>
        <v>yes</v>
      </c>
      <c r="Z17" s="21" t="str">
        <f t="shared" si="14"/>
        <v>no</v>
      </c>
      <c r="AA17" s="21" t="str">
        <f t="shared" si="14"/>
        <v>no</v>
      </c>
      <c r="AB17" s="21" t="e">
        <f t="shared" si="14"/>
        <v>#VALUE!</v>
      </c>
      <c r="AC17" s="21" t="str">
        <f t="shared" si="14"/>
        <v>no</v>
      </c>
      <c r="AD17" s="21" t="str">
        <f t="shared" si="14"/>
        <v>no</v>
      </c>
    </row>
    <row r="18" spans="1:30" x14ac:dyDescent="0.25">
      <c r="A18" s="6">
        <v>14</v>
      </c>
      <c r="B18" s="6" t="s">
        <v>30</v>
      </c>
      <c r="C18" s="24">
        <v>16.600000000000001</v>
      </c>
      <c r="D18" s="5">
        <v>17.899999999999999</v>
      </c>
      <c r="E18" s="3">
        <v>8.3000000000000007</v>
      </c>
      <c r="F18" s="5">
        <v>9.1</v>
      </c>
      <c r="G18" s="3">
        <v>12</v>
      </c>
      <c r="H18" s="3">
        <v>1</v>
      </c>
      <c r="I18" s="5">
        <v>0</v>
      </c>
      <c r="J18" s="5">
        <v>0</v>
      </c>
      <c r="L18" t="s">
        <v>60</v>
      </c>
      <c r="M18">
        <f>SUM(C5:C40)</f>
        <v>544.00000000000011</v>
      </c>
      <c r="N18">
        <f t="shared" ref="N18:T18" si="15">SUM(D5:D40)</f>
        <v>650.69999999999993</v>
      </c>
      <c r="O18">
        <f t="shared" si="15"/>
        <v>381.5</v>
      </c>
      <c r="P18">
        <f t="shared" si="15"/>
        <v>469.79999999999995</v>
      </c>
      <c r="Q18">
        <f t="shared" si="15"/>
        <v>604</v>
      </c>
      <c r="R18">
        <f t="shared" si="15"/>
        <v>36</v>
      </c>
      <c r="S18">
        <f t="shared" si="15"/>
        <v>71</v>
      </c>
      <c r="T18">
        <f t="shared" si="15"/>
        <v>4</v>
      </c>
    </row>
    <row r="19" spans="1:30" x14ac:dyDescent="0.25">
      <c r="A19" s="6">
        <v>15</v>
      </c>
      <c r="B19" s="6" t="s">
        <v>35</v>
      </c>
      <c r="C19" s="24">
        <v>12.3</v>
      </c>
      <c r="D19" s="5">
        <v>18.5</v>
      </c>
      <c r="E19" s="3">
        <v>5.8</v>
      </c>
      <c r="F19" s="5">
        <v>13.2</v>
      </c>
      <c r="G19" s="3">
        <v>21</v>
      </c>
      <c r="H19" s="3">
        <v>1</v>
      </c>
      <c r="I19" s="14">
        <v>1</v>
      </c>
      <c r="J19" s="5">
        <v>0</v>
      </c>
      <c r="L19" t="s">
        <v>61</v>
      </c>
      <c r="M19">
        <f>COUNT(C5:C40)</f>
        <v>36</v>
      </c>
      <c r="N19">
        <f t="shared" ref="N19:T19" si="16">COUNT(D5:D40)</f>
        <v>36</v>
      </c>
      <c r="O19">
        <f t="shared" si="16"/>
        <v>36</v>
      </c>
      <c r="P19">
        <f t="shared" si="16"/>
        <v>36</v>
      </c>
      <c r="Q19">
        <f t="shared" si="16"/>
        <v>36</v>
      </c>
      <c r="R19">
        <f t="shared" si="16"/>
        <v>36</v>
      </c>
      <c r="S19">
        <f t="shared" si="16"/>
        <v>36</v>
      </c>
      <c r="T19">
        <f t="shared" si="16"/>
        <v>36</v>
      </c>
    </row>
    <row r="20" spans="1:30" x14ac:dyDescent="0.25">
      <c r="A20" s="6">
        <v>16</v>
      </c>
      <c r="B20" s="6" t="s">
        <v>35</v>
      </c>
      <c r="C20" s="24">
        <v>15.9</v>
      </c>
      <c r="D20" s="5">
        <v>15.8</v>
      </c>
      <c r="E20" s="3">
        <v>8.8000000000000007</v>
      </c>
      <c r="F20" s="5">
        <v>9.5</v>
      </c>
      <c r="G20" s="3">
        <v>21</v>
      </c>
      <c r="H20" s="3">
        <v>1</v>
      </c>
      <c r="I20" s="14">
        <v>5</v>
      </c>
      <c r="J20" s="5">
        <v>0</v>
      </c>
      <c r="L20" t="s">
        <v>62</v>
      </c>
      <c r="M20">
        <f>GEOMEAN(C5:C40)</f>
        <v>14.907098121353862</v>
      </c>
      <c r="N20">
        <f t="shared" ref="N20:T20" si="17">GEOMEAN(D5:D40)</f>
        <v>17.818831517644352</v>
      </c>
      <c r="O20">
        <f t="shared" si="17"/>
        <v>10.089895598665663</v>
      </c>
      <c r="P20">
        <f t="shared" si="17"/>
        <v>12.690928478174655</v>
      </c>
      <c r="Q20">
        <f t="shared" si="17"/>
        <v>16.459864718323235</v>
      </c>
      <c r="R20">
        <f t="shared" si="17"/>
        <v>1</v>
      </c>
      <c r="S20" t="e">
        <f t="shared" si="17"/>
        <v>#NUM!</v>
      </c>
      <c r="T20" t="e">
        <f t="shared" si="17"/>
        <v>#NUM!</v>
      </c>
    </row>
    <row r="21" spans="1:30" x14ac:dyDescent="0.25">
      <c r="A21" s="6">
        <v>17</v>
      </c>
      <c r="B21" s="6" t="s">
        <v>30</v>
      </c>
      <c r="C21" s="24">
        <v>16.8</v>
      </c>
      <c r="D21" s="5">
        <v>18.8</v>
      </c>
      <c r="E21" s="3">
        <v>10.4</v>
      </c>
      <c r="F21" s="5">
        <v>13.8</v>
      </c>
      <c r="G21" s="3">
        <v>13</v>
      </c>
      <c r="H21" s="3">
        <v>1</v>
      </c>
      <c r="I21" s="14">
        <v>0</v>
      </c>
      <c r="J21" s="5">
        <v>0</v>
      </c>
      <c r="L21" t="s">
        <v>63</v>
      </c>
      <c r="M21">
        <f>HARMEAN(C5:C40)</f>
        <v>14.682574750929685</v>
      </c>
      <c r="N21">
        <f t="shared" ref="N21:T21" si="18">HARMEAN(D5:D40)</f>
        <v>17.545880826071656</v>
      </c>
      <c r="O21">
        <f t="shared" si="18"/>
        <v>9.5978648839507041</v>
      </c>
      <c r="P21">
        <f t="shared" si="18"/>
        <v>12.347500147176694</v>
      </c>
      <c r="Q21">
        <f t="shared" si="18"/>
        <v>16.134369555880454</v>
      </c>
      <c r="R21">
        <f t="shared" si="18"/>
        <v>1</v>
      </c>
      <c r="S21" t="e">
        <f t="shared" si="18"/>
        <v>#NUM!</v>
      </c>
      <c r="T21" t="e">
        <f t="shared" si="18"/>
        <v>#NUM!</v>
      </c>
    </row>
    <row r="22" spans="1:30" x14ac:dyDescent="0.25">
      <c r="A22" s="6">
        <v>18</v>
      </c>
      <c r="B22" s="6" t="s">
        <v>30</v>
      </c>
      <c r="C22" s="24">
        <v>15.3</v>
      </c>
      <c r="D22" s="5">
        <v>17.399999999999999</v>
      </c>
      <c r="E22" s="3">
        <v>10.4</v>
      </c>
      <c r="F22" s="5">
        <v>11.3</v>
      </c>
      <c r="G22" s="3">
        <v>12</v>
      </c>
      <c r="H22" s="3">
        <v>1</v>
      </c>
      <c r="I22" s="14">
        <v>0</v>
      </c>
      <c r="J22" s="5">
        <v>0</v>
      </c>
      <c r="L22" t="s">
        <v>64</v>
      </c>
      <c r="M22">
        <f>AVEDEV(C5:C40)</f>
        <v>1.869753086419752</v>
      </c>
      <c r="N22">
        <f t="shared" ref="N22:T22" si="19">AVEDEV(D5:D40)</f>
        <v>2.2361111111111112</v>
      </c>
      <c r="O22">
        <f t="shared" si="19"/>
        <v>2.7910493827160492</v>
      </c>
      <c r="P22">
        <f t="shared" si="19"/>
        <v>2.7249999999999996</v>
      </c>
      <c r="Q22">
        <f t="shared" si="19"/>
        <v>2.8888888888888888</v>
      </c>
      <c r="R22">
        <f t="shared" si="19"/>
        <v>0</v>
      </c>
      <c r="S22">
        <f t="shared" si="19"/>
        <v>2.2391975308641978</v>
      </c>
      <c r="T22">
        <f t="shared" si="19"/>
        <v>0.19753086419753074</v>
      </c>
    </row>
    <row r="23" spans="1:30" x14ac:dyDescent="0.25">
      <c r="A23" s="6">
        <v>19</v>
      </c>
      <c r="B23" s="6" t="s">
        <v>35</v>
      </c>
      <c r="C23" s="24">
        <v>13.7</v>
      </c>
      <c r="D23" s="5">
        <v>10.5</v>
      </c>
      <c r="E23" s="3">
        <v>8</v>
      </c>
      <c r="F23" s="5">
        <v>9.3000000000000007</v>
      </c>
      <c r="G23" s="18">
        <v>21</v>
      </c>
      <c r="H23" s="3">
        <v>1</v>
      </c>
      <c r="I23" s="14">
        <v>4</v>
      </c>
      <c r="J23" s="5">
        <v>0</v>
      </c>
      <c r="L23" t="s">
        <v>65</v>
      </c>
      <c r="M23">
        <f>[1]!MAD(C5:C40)</f>
        <v>1.1500000000000004</v>
      </c>
      <c r="N23">
        <f>[1]!MAD(D5:D40)</f>
        <v>1.9000000000000004</v>
      </c>
      <c r="O23">
        <f>[1]!MAD(E5:E40)</f>
        <v>2.3499999999999996</v>
      </c>
      <c r="P23">
        <f>[1]!MAD(F5:F40)</f>
        <v>3.0999999999999996</v>
      </c>
      <c r="Q23">
        <f>[1]!MAD(G5:G40)</f>
        <v>3</v>
      </c>
      <c r="R23">
        <f>[1]!MAD(H5:H40)</f>
        <v>0</v>
      </c>
      <c r="S23">
        <f>[1]!MAD(I5:I40)</f>
        <v>1</v>
      </c>
      <c r="T23">
        <f>[1]!MAD(J5:J40)</f>
        <v>0</v>
      </c>
    </row>
    <row r="24" spans="1:30" x14ac:dyDescent="0.25">
      <c r="A24" s="6">
        <v>20</v>
      </c>
      <c r="B24" s="6" t="s">
        <v>35</v>
      </c>
      <c r="C24" s="24">
        <v>13.6</v>
      </c>
      <c r="D24" s="5">
        <v>15.4</v>
      </c>
      <c r="E24" s="3">
        <v>17</v>
      </c>
      <c r="F24" s="5">
        <v>19.3</v>
      </c>
      <c r="G24" s="18">
        <v>19</v>
      </c>
      <c r="H24" s="3">
        <v>1</v>
      </c>
      <c r="I24" s="14">
        <v>1</v>
      </c>
      <c r="J24" s="5">
        <v>0</v>
      </c>
      <c r="L24" s="19" t="s">
        <v>10</v>
      </c>
      <c r="M24" s="19">
        <f>[1]!IQR(C5:C40,FALSE)</f>
        <v>2.8499999999999996</v>
      </c>
      <c r="N24" s="19">
        <f>[1]!IQR(D5:D40,FALSE)</f>
        <v>3.5500000000000043</v>
      </c>
      <c r="O24" s="19">
        <f>[1]!IQR(E5:E40,FALSE)</f>
        <v>5.4500000000000011</v>
      </c>
      <c r="P24" s="19">
        <f>[1]!IQR(F5:F40,FALSE)</f>
        <v>5.0500000000000007</v>
      </c>
      <c r="Q24" s="19">
        <f>[1]!IQR(G5:G40,FALSE)</f>
        <v>6.25</v>
      </c>
      <c r="R24" s="19">
        <f>[1]!IQR(H5:H40,FALSE)</f>
        <v>0</v>
      </c>
      <c r="S24" s="19">
        <f>[1]!IQR(I5:I40,FALSE)</f>
        <v>2.25</v>
      </c>
      <c r="T24" s="19">
        <f>[1]!IQR(J5:J40,FALSE)</f>
        <v>0</v>
      </c>
    </row>
    <row r="25" spans="1:30" x14ac:dyDescent="0.25">
      <c r="A25" s="6">
        <v>21</v>
      </c>
      <c r="B25" s="6" t="s">
        <v>35</v>
      </c>
      <c r="C25" s="24">
        <v>14.8</v>
      </c>
      <c r="D25" s="5">
        <v>16.7</v>
      </c>
      <c r="E25" s="3">
        <v>7.9</v>
      </c>
      <c r="F25" s="5">
        <v>13.2</v>
      </c>
      <c r="G25" s="18">
        <v>20</v>
      </c>
      <c r="H25" s="3">
        <v>1</v>
      </c>
      <c r="I25" s="14">
        <v>9</v>
      </c>
      <c r="J25" s="5">
        <v>1</v>
      </c>
    </row>
    <row r="26" spans="1:30" x14ac:dyDescent="0.25">
      <c r="A26" s="6">
        <v>22</v>
      </c>
      <c r="B26" s="6" t="s">
        <v>35</v>
      </c>
      <c r="C26" s="24">
        <v>9.1</v>
      </c>
      <c r="D26" s="5">
        <v>11.9</v>
      </c>
      <c r="E26" s="3">
        <v>8.8000000000000007</v>
      </c>
      <c r="F26" s="5">
        <v>9.1999999999999993</v>
      </c>
      <c r="G26" s="18">
        <v>20</v>
      </c>
      <c r="H26" s="3">
        <v>1</v>
      </c>
      <c r="I26" s="14">
        <v>8</v>
      </c>
      <c r="J26" s="5">
        <v>1</v>
      </c>
    </row>
    <row r="27" spans="1:30" x14ac:dyDescent="0.25">
      <c r="A27" s="6">
        <v>23</v>
      </c>
      <c r="B27" s="6" t="s">
        <v>30</v>
      </c>
      <c r="C27" s="24">
        <v>18.899999999999999</v>
      </c>
      <c r="D27" s="5">
        <v>20</v>
      </c>
      <c r="E27" s="3">
        <v>16.5</v>
      </c>
      <c r="F27" s="5">
        <v>17.399999999999999</v>
      </c>
      <c r="G27" s="18">
        <v>13</v>
      </c>
      <c r="H27" s="3">
        <v>1</v>
      </c>
      <c r="I27" s="14">
        <v>1</v>
      </c>
      <c r="J27" s="5">
        <v>0</v>
      </c>
    </row>
    <row r="28" spans="1:30" x14ac:dyDescent="0.25">
      <c r="A28" s="6">
        <v>24</v>
      </c>
      <c r="B28" s="6" t="s">
        <v>35</v>
      </c>
      <c r="C28" s="24">
        <v>15.8</v>
      </c>
      <c r="D28" s="5">
        <v>19.7</v>
      </c>
      <c r="E28" s="3">
        <v>13.5</v>
      </c>
      <c r="F28" s="5">
        <v>16.7</v>
      </c>
      <c r="G28" s="18">
        <v>12</v>
      </c>
      <c r="H28" s="3">
        <v>1</v>
      </c>
      <c r="I28" s="14">
        <v>1</v>
      </c>
      <c r="J28" s="5">
        <v>0</v>
      </c>
      <c r="L28" s="20"/>
      <c r="M28" s="20" t="s">
        <v>20</v>
      </c>
      <c r="N28" s="20" t="s">
        <v>28</v>
      </c>
      <c r="O28" s="20" t="s">
        <v>34</v>
      </c>
      <c r="P28" s="20" t="s">
        <v>28</v>
      </c>
      <c r="Q28" s="20" t="s">
        <v>20</v>
      </c>
      <c r="R28" s="20" t="s">
        <v>13</v>
      </c>
      <c r="S28" s="20" t="s">
        <v>28</v>
      </c>
      <c r="T28" s="20" t="s">
        <v>13</v>
      </c>
    </row>
    <row r="29" spans="1:30" x14ac:dyDescent="0.25">
      <c r="A29" s="6">
        <v>25</v>
      </c>
      <c r="B29" s="6" t="s">
        <v>30</v>
      </c>
      <c r="C29" s="24">
        <v>15.5</v>
      </c>
      <c r="D29" s="5">
        <v>17</v>
      </c>
      <c r="E29" s="3">
        <v>13.2</v>
      </c>
      <c r="F29" s="5">
        <v>14.8</v>
      </c>
      <c r="G29" s="18">
        <v>20</v>
      </c>
      <c r="H29" s="3">
        <v>1</v>
      </c>
      <c r="I29" s="14">
        <v>6</v>
      </c>
      <c r="J29" s="5">
        <v>0</v>
      </c>
      <c r="L29" t="s">
        <v>5</v>
      </c>
      <c r="M29">
        <v>15.111111111111114</v>
      </c>
      <c r="N29">
        <v>18.074999999999999</v>
      </c>
      <c r="O29">
        <v>10.597222222222221</v>
      </c>
      <c r="P29">
        <v>13.049999999999999</v>
      </c>
      <c r="Q29">
        <v>16.777777777777779</v>
      </c>
      <c r="R29">
        <v>1</v>
      </c>
      <c r="S29">
        <v>1.9722222222222223</v>
      </c>
      <c r="T29">
        <v>0.1111111111111111</v>
      </c>
    </row>
    <row r="30" spans="1:30" x14ac:dyDescent="0.25">
      <c r="A30" s="6">
        <v>26</v>
      </c>
      <c r="B30" s="6" t="s">
        <v>30</v>
      </c>
      <c r="C30" s="24">
        <v>19.5</v>
      </c>
      <c r="D30" s="5">
        <v>19.8</v>
      </c>
      <c r="E30" s="3">
        <v>16.899999999999999</v>
      </c>
      <c r="F30" s="5">
        <v>17.2</v>
      </c>
      <c r="G30" s="18">
        <v>16</v>
      </c>
      <c r="H30" s="3">
        <v>1</v>
      </c>
      <c r="I30" s="14">
        <v>3</v>
      </c>
      <c r="J30" s="5">
        <v>0</v>
      </c>
      <c r="L30" t="s">
        <v>6</v>
      </c>
      <c r="M30">
        <v>0.4012634367582118</v>
      </c>
      <c r="N30">
        <v>0.50507543048161663</v>
      </c>
      <c r="O30">
        <v>0.55785140695337454</v>
      </c>
      <c r="P30">
        <v>0.5225016138807016</v>
      </c>
      <c r="Q30">
        <v>0.54059213729624844</v>
      </c>
      <c r="R30">
        <v>0</v>
      </c>
      <c r="S30">
        <v>0.48548145161160022</v>
      </c>
      <c r="T30">
        <v>5.3121271525973048E-2</v>
      </c>
    </row>
    <row r="31" spans="1:30" x14ac:dyDescent="0.25">
      <c r="A31" s="6">
        <v>27</v>
      </c>
      <c r="B31" s="6" t="s">
        <v>30</v>
      </c>
      <c r="C31" s="24">
        <v>19.100000000000001</v>
      </c>
      <c r="D31" s="5">
        <v>20.2</v>
      </c>
      <c r="E31" s="3">
        <v>16.2</v>
      </c>
      <c r="F31" s="5">
        <v>17.399999999999999</v>
      </c>
      <c r="G31" s="18">
        <v>14</v>
      </c>
      <c r="H31" s="3">
        <v>1</v>
      </c>
      <c r="I31" s="14">
        <v>1</v>
      </c>
      <c r="J31" s="5">
        <v>0</v>
      </c>
      <c r="L31" t="s">
        <v>7</v>
      </c>
      <c r="M31">
        <v>15.6</v>
      </c>
      <c r="N31">
        <v>18</v>
      </c>
      <c r="O31">
        <v>10.1</v>
      </c>
      <c r="P31">
        <v>13.2</v>
      </c>
      <c r="Q31">
        <v>17</v>
      </c>
      <c r="R31">
        <v>1</v>
      </c>
      <c r="S31">
        <v>1</v>
      </c>
      <c r="T31">
        <v>0</v>
      </c>
    </row>
    <row r="32" spans="1:30" x14ac:dyDescent="0.25">
      <c r="A32" s="6">
        <v>28</v>
      </c>
      <c r="B32" s="6" t="s">
        <v>35</v>
      </c>
      <c r="C32" s="24">
        <v>17.600000000000001</v>
      </c>
      <c r="D32" s="5">
        <v>20.9</v>
      </c>
      <c r="E32" s="3">
        <v>15</v>
      </c>
      <c r="F32" s="5">
        <v>17.8</v>
      </c>
      <c r="G32" s="18">
        <v>15</v>
      </c>
      <c r="H32" s="3">
        <v>1</v>
      </c>
      <c r="I32" s="14">
        <v>2</v>
      </c>
      <c r="J32" s="5">
        <v>0</v>
      </c>
      <c r="L32" t="s">
        <v>8</v>
      </c>
      <c r="M32">
        <v>19.5</v>
      </c>
      <c r="N32">
        <v>26.9</v>
      </c>
      <c r="O32">
        <v>17</v>
      </c>
      <c r="P32">
        <v>19.3</v>
      </c>
      <c r="Q32">
        <v>21</v>
      </c>
      <c r="R32">
        <v>1</v>
      </c>
      <c r="S32">
        <v>10</v>
      </c>
      <c r="T32">
        <v>1</v>
      </c>
    </row>
    <row r="33" spans="1:20" x14ac:dyDescent="0.25">
      <c r="A33" s="6">
        <v>29</v>
      </c>
      <c r="B33" s="6" t="s">
        <v>35</v>
      </c>
      <c r="C33" s="24">
        <v>14.8</v>
      </c>
      <c r="D33" s="5">
        <v>20.7</v>
      </c>
      <c r="E33" s="3">
        <v>12.8</v>
      </c>
      <c r="F33" s="5">
        <v>17.7</v>
      </c>
      <c r="G33" s="18">
        <v>18</v>
      </c>
      <c r="H33" s="3">
        <v>1</v>
      </c>
      <c r="I33" s="14">
        <v>1</v>
      </c>
      <c r="J33" s="5">
        <v>0</v>
      </c>
      <c r="L33" t="s">
        <v>9</v>
      </c>
      <c r="M33">
        <v>9.1</v>
      </c>
      <c r="N33">
        <v>10.5</v>
      </c>
      <c r="O33">
        <v>5.2</v>
      </c>
      <c r="P33">
        <v>9.1</v>
      </c>
      <c r="Q33">
        <v>12</v>
      </c>
      <c r="R33">
        <v>1</v>
      </c>
      <c r="S33">
        <v>0</v>
      </c>
      <c r="T33">
        <v>0</v>
      </c>
    </row>
    <row r="34" spans="1:20" x14ac:dyDescent="0.25">
      <c r="A34" s="6">
        <v>30</v>
      </c>
      <c r="B34" s="6" t="s">
        <v>30</v>
      </c>
      <c r="C34" s="24">
        <v>16.5</v>
      </c>
      <c r="D34" s="5">
        <v>17.600000000000001</v>
      </c>
      <c r="E34" s="3">
        <v>14.4</v>
      </c>
      <c r="F34" s="5">
        <v>15.5</v>
      </c>
      <c r="G34" s="18">
        <v>20</v>
      </c>
      <c r="H34" s="3">
        <v>1</v>
      </c>
      <c r="I34" s="14">
        <v>8</v>
      </c>
      <c r="J34" s="5">
        <v>1</v>
      </c>
      <c r="L34" t="s">
        <v>61</v>
      </c>
      <c r="M34">
        <v>36</v>
      </c>
      <c r="N34">
        <v>36</v>
      </c>
      <c r="O34">
        <v>36</v>
      </c>
      <c r="P34">
        <v>36</v>
      </c>
      <c r="Q34">
        <v>36</v>
      </c>
      <c r="R34">
        <v>36</v>
      </c>
      <c r="S34">
        <v>36</v>
      </c>
      <c r="T34">
        <v>36</v>
      </c>
    </row>
    <row r="35" spans="1:20" x14ac:dyDescent="0.25">
      <c r="A35" s="6">
        <v>31</v>
      </c>
      <c r="B35" s="6" t="s">
        <v>30</v>
      </c>
      <c r="C35" s="24">
        <v>15.5</v>
      </c>
      <c r="D35" s="5">
        <v>16.8</v>
      </c>
      <c r="E35" s="3">
        <v>13.5</v>
      </c>
      <c r="F35" s="5">
        <v>14.6</v>
      </c>
      <c r="G35" s="18">
        <v>12</v>
      </c>
      <c r="H35" s="3">
        <v>1</v>
      </c>
      <c r="I35" s="14">
        <v>0</v>
      </c>
      <c r="J35" s="5">
        <v>0</v>
      </c>
      <c r="L35" s="19" t="s">
        <v>10</v>
      </c>
      <c r="M35" s="19">
        <v>2.8499999999999996</v>
      </c>
      <c r="N35" s="19">
        <v>3.5500000000000043</v>
      </c>
      <c r="O35" s="19">
        <v>5.4500000000000011</v>
      </c>
      <c r="P35" s="19">
        <v>5.0500000000000007</v>
      </c>
      <c r="Q35" s="19">
        <v>6.25</v>
      </c>
      <c r="R35" s="19">
        <v>0</v>
      </c>
      <c r="S35" s="19">
        <v>2.25</v>
      </c>
      <c r="T35" s="19">
        <v>0</v>
      </c>
    </row>
    <row r="36" spans="1:20" x14ac:dyDescent="0.25">
      <c r="A36" s="6">
        <v>32</v>
      </c>
      <c r="B36" s="6" t="s">
        <v>30</v>
      </c>
      <c r="C36" s="24">
        <v>16.399999999999999</v>
      </c>
      <c r="D36" s="5">
        <v>20.399999999999999</v>
      </c>
      <c r="E36" s="3">
        <v>13.8</v>
      </c>
      <c r="F36" s="5">
        <v>17.2</v>
      </c>
      <c r="G36" s="18">
        <v>15</v>
      </c>
      <c r="H36" s="3">
        <v>1</v>
      </c>
      <c r="I36" s="14">
        <v>0</v>
      </c>
      <c r="J36" s="5">
        <v>0</v>
      </c>
      <c r="L36" t="s">
        <v>23</v>
      </c>
      <c r="M36">
        <v>0.2706189568454751</v>
      </c>
      <c r="N36">
        <v>0.25046604974884112</v>
      </c>
      <c r="O36">
        <v>6.030445683579011E-2</v>
      </c>
      <c r="P36">
        <v>6.1905167776105108E-3</v>
      </c>
      <c r="Q36">
        <v>2.0900494547928528E-3</v>
      </c>
      <c r="R36" t="e">
        <v>#VALUE!</v>
      </c>
      <c r="S36">
        <v>4.0059654926594135E-7</v>
      </c>
      <c r="T36">
        <v>2.5653257296198717E-11</v>
      </c>
    </row>
    <row r="37" spans="1:20" x14ac:dyDescent="0.25">
      <c r="A37" s="6">
        <v>33</v>
      </c>
      <c r="B37" s="6" t="s">
        <v>30</v>
      </c>
      <c r="C37" s="24">
        <v>15.8</v>
      </c>
      <c r="D37" s="5">
        <v>17.5</v>
      </c>
      <c r="E37" s="3">
        <v>13.4</v>
      </c>
      <c r="F37" s="5">
        <v>14.9</v>
      </c>
      <c r="G37" s="18">
        <v>18</v>
      </c>
      <c r="H37" s="3">
        <v>1</v>
      </c>
      <c r="I37" s="14">
        <v>0</v>
      </c>
      <c r="J37" s="5">
        <v>0</v>
      </c>
    </row>
    <row r="38" spans="1:20" x14ac:dyDescent="0.25">
      <c r="A38" s="6">
        <v>34</v>
      </c>
      <c r="B38" s="6" t="s">
        <v>30</v>
      </c>
      <c r="C38" s="24">
        <v>10</v>
      </c>
      <c r="D38" s="5">
        <v>15.5</v>
      </c>
      <c r="E38" s="3">
        <v>7</v>
      </c>
      <c r="F38" s="5">
        <v>13.3</v>
      </c>
      <c r="G38" s="18">
        <v>21</v>
      </c>
      <c r="H38" s="3">
        <v>1</v>
      </c>
      <c r="I38" s="14">
        <v>10</v>
      </c>
      <c r="J38" s="5">
        <v>1</v>
      </c>
    </row>
    <row r="39" spans="1:20" x14ac:dyDescent="0.25">
      <c r="A39" s="6">
        <v>35</v>
      </c>
      <c r="B39" s="6" t="s">
        <v>30</v>
      </c>
      <c r="C39" s="23">
        <v>16.600000000000001</v>
      </c>
      <c r="D39" s="5">
        <v>18.600000000000001</v>
      </c>
      <c r="E39" s="3">
        <v>11.8</v>
      </c>
      <c r="F39" s="5">
        <v>14.1</v>
      </c>
      <c r="G39" s="18">
        <v>20</v>
      </c>
      <c r="H39" s="3">
        <v>1</v>
      </c>
      <c r="I39" s="14">
        <v>5</v>
      </c>
      <c r="J39" s="5">
        <v>0</v>
      </c>
    </row>
    <row r="40" spans="1:20" x14ac:dyDescent="0.25">
      <c r="A40" s="6">
        <v>36</v>
      </c>
      <c r="B40" s="6" t="s">
        <v>30</v>
      </c>
      <c r="C40" s="23">
        <v>14.5</v>
      </c>
      <c r="D40" s="5">
        <v>16</v>
      </c>
      <c r="E40" s="3">
        <v>10.199999999999999</v>
      </c>
      <c r="F40" s="5">
        <v>13.9</v>
      </c>
      <c r="G40" s="18">
        <v>20</v>
      </c>
      <c r="H40" s="3">
        <v>1</v>
      </c>
      <c r="I40" s="14">
        <v>0</v>
      </c>
      <c r="J40" s="5">
        <v>0</v>
      </c>
    </row>
    <row r="42" spans="1:20" x14ac:dyDescent="0.25">
      <c r="A42" s="17" t="s">
        <v>66</v>
      </c>
    </row>
    <row r="43" spans="1:20" x14ac:dyDescent="0.25">
      <c r="A43" s="17" t="s">
        <v>67</v>
      </c>
    </row>
    <row r="44" spans="1:20" x14ac:dyDescent="0.25">
      <c r="A44" s="17" t="s">
        <v>68</v>
      </c>
    </row>
    <row r="48" spans="1:20" x14ac:dyDescent="0.25">
      <c r="B48" s="2"/>
      <c r="D48" s="30"/>
    </row>
    <row r="49" spans="2:21" x14ac:dyDescent="0.25">
      <c r="B49" s="16" t="s">
        <v>46</v>
      </c>
      <c r="C49" s="29" t="s">
        <v>19</v>
      </c>
      <c r="D49" t="s">
        <v>69</v>
      </c>
    </row>
    <row r="50" spans="2:21" x14ac:dyDescent="0.25">
      <c r="B50" s="6" t="s">
        <v>30</v>
      </c>
      <c r="C50" s="8" t="s">
        <v>20</v>
      </c>
      <c r="D50" s="23">
        <v>12.6</v>
      </c>
      <c r="K50" t="s">
        <v>12</v>
      </c>
      <c r="S50" t="s">
        <v>70</v>
      </c>
    </row>
    <row r="51" spans="2:21" x14ac:dyDescent="0.25">
      <c r="B51" s="6" t="s">
        <v>30</v>
      </c>
      <c r="C51" s="8" t="s">
        <v>20</v>
      </c>
      <c r="D51" s="24">
        <v>16.5</v>
      </c>
    </row>
    <row r="52" spans="2:21" ht="15.75" thickBot="1" x14ac:dyDescent="0.3">
      <c r="B52" s="6" t="s">
        <v>30</v>
      </c>
      <c r="C52" s="8" t="s">
        <v>20</v>
      </c>
      <c r="D52" s="24">
        <v>12</v>
      </c>
      <c r="F52" t="s">
        <v>71</v>
      </c>
      <c r="G52" t="str">
        <f>IF(COUNTIF(G54:H55,G54)=COUNT(G54:H55),"balanced","unbalanced")</f>
        <v>unbalanced</v>
      </c>
      <c r="K52" t="s">
        <v>72</v>
      </c>
      <c r="O52" s="35" t="s">
        <v>31</v>
      </c>
      <c r="P52" s="35">
        <v>0.05</v>
      </c>
      <c r="S52" s="37" t="str">
        <f t="array" ref="S52:U100">[1]!StdAnova2(B50:D121)</f>
        <v/>
      </c>
      <c r="T52" s="37" t="str">
        <v>ANTES</v>
      </c>
      <c r="U52" s="37" t="str">
        <v>DESPUÉS</v>
      </c>
    </row>
    <row r="53" spans="2:21" ht="15.75" thickTop="1" x14ac:dyDescent="0.25">
      <c r="B53" s="6" t="s">
        <v>35</v>
      </c>
      <c r="C53" s="8" t="s">
        <v>20</v>
      </c>
      <c r="D53" s="24">
        <v>13.8</v>
      </c>
      <c r="G53" t="str">
        <f t="array" ref="G53:H53">TRANSPOSE([1]!SortUnique(C50:C121))</f>
        <v>ANTES</v>
      </c>
      <c r="H53" t="str">
        <v>DESPUÉS</v>
      </c>
      <c r="K53" s="36"/>
      <c r="L53" s="36" t="s">
        <v>73</v>
      </c>
      <c r="M53" s="36" t="s">
        <v>39</v>
      </c>
      <c r="N53" s="36" t="s">
        <v>74</v>
      </c>
      <c r="O53" s="36" t="s">
        <v>30</v>
      </c>
      <c r="P53" s="36" t="s">
        <v>23</v>
      </c>
      <c r="Q53" s="36" t="s">
        <v>75</v>
      </c>
      <c r="S53" s="37" t="str">
        <v>F</v>
      </c>
      <c r="T53" s="37">
        <v>12.6</v>
      </c>
      <c r="U53" s="37">
        <v>13.8</v>
      </c>
    </row>
    <row r="54" spans="2:21" x14ac:dyDescent="0.25">
      <c r="B54" s="6" t="s">
        <v>30</v>
      </c>
      <c r="C54" s="8" t="s">
        <v>20</v>
      </c>
      <c r="D54" s="24">
        <v>13.4</v>
      </c>
      <c r="F54" t="str">
        <f t="array" ref="F54:F55">[1]!SortUnique(B50:B121)</f>
        <v>F</v>
      </c>
      <c r="G54" s="31">
        <f t="array" ref="G54">COUNTIFS($B$50:$B$121,$F54,$C$50:$C$121,G$53)</f>
        <v>24</v>
      </c>
      <c r="H54" s="32">
        <f t="array" ref="H54">COUNTIFS($B$50:$B$121,$F54,$C$50:$C$121,H$53)</f>
        <v>24</v>
      </c>
      <c r="I54">
        <f t="array" ref="I54">SUM(G54:H54)</f>
        <v>48</v>
      </c>
      <c r="K54" t="s">
        <v>76</v>
      </c>
      <c r="L54">
        <f>DEVSQ(I60:I61)*I54</f>
        <v>18.200416666666825</v>
      </c>
      <c r="M54">
        <f>COUNT(I60:I61)-1</f>
        <v>1</v>
      </c>
      <c r="N54">
        <f>L54/M54</f>
        <v>18.200416666666825</v>
      </c>
      <c r="O54">
        <f>N54/N57</f>
        <v>1.5517868822966245</v>
      </c>
      <c r="P54">
        <f>_xlfn.F.DIST.RT(O54,M54,M57)</f>
        <v>0.21714696202715181</v>
      </c>
      <c r="Q54">
        <f>L54/(L54+L57)</f>
        <v>2.2311243921349328E-2</v>
      </c>
      <c r="S54" s="38" t="str">
        <v/>
      </c>
      <c r="T54" s="38">
        <v>16.5</v>
      </c>
      <c r="U54" s="38">
        <v>19.3</v>
      </c>
    </row>
    <row r="55" spans="2:21" x14ac:dyDescent="0.25">
      <c r="B55" s="6" t="s">
        <v>30</v>
      </c>
      <c r="C55" s="8" t="s">
        <v>20</v>
      </c>
      <c r="D55" s="24">
        <v>11.3</v>
      </c>
      <c r="F55" t="str">
        <v>M</v>
      </c>
      <c r="G55" s="33">
        <f t="array" ref="G55">COUNTIFS($B$50:$B$121,$F55,$C$50:$C$121,G$53)</f>
        <v>12</v>
      </c>
      <c r="H55" s="34">
        <f t="array" ref="H55">COUNTIFS($B$50:$B$121,$F55,$C$50:$C$121,H$53)</f>
        <v>12</v>
      </c>
      <c r="I55">
        <f t="array" ref="I55">SUM(G55:H55)</f>
        <v>24</v>
      </c>
      <c r="K55" t="s">
        <v>77</v>
      </c>
      <c r="L55">
        <f>DEVSQ(G62:H62)*G56</f>
        <v>165.62000000000037</v>
      </c>
      <c r="M55">
        <f>COUNT(G62:H62)-1</f>
        <v>1</v>
      </c>
      <c r="N55">
        <f>L55/M55</f>
        <v>165.62000000000037</v>
      </c>
      <c r="O55">
        <f>N55/N57</f>
        <v>14.120937347366514</v>
      </c>
      <c r="P55">
        <f>_xlfn.F.DIST.RT(O55,M55,M57)</f>
        <v>3.5828343158220101E-4</v>
      </c>
      <c r="Q55">
        <f>L55/(L55+L57)</f>
        <v>0.17195294894937474</v>
      </c>
      <c r="S55" s="38" t="str">
        <v/>
      </c>
      <c r="T55" s="38">
        <v>12</v>
      </c>
      <c r="U55" s="38">
        <v>21</v>
      </c>
    </row>
    <row r="56" spans="2:21" x14ac:dyDescent="0.25">
      <c r="B56" s="6" t="s">
        <v>30</v>
      </c>
      <c r="C56" s="8" t="s">
        <v>20</v>
      </c>
      <c r="D56" s="24">
        <v>12</v>
      </c>
      <c r="G56">
        <f t="array" ref="G56">SUM(G54:G55)</f>
        <v>36</v>
      </c>
      <c r="H56">
        <f t="array" ref="H56">SUM(H54:H55)</f>
        <v>36</v>
      </c>
      <c r="I56">
        <f t="array" ref="I56">SUM(I54:I55)</f>
        <v>72</v>
      </c>
      <c r="K56" t="s">
        <v>78</v>
      </c>
      <c r="L56">
        <f>L58-L54-L55-L57</f>
        <v>-298.94434343433147</v>
      </c>
      <c r="M56">
        <f>M55*M54</f>
        <v>1</v>
      </c>
      <c r="N56">
        <f>L56/M56</f>
        <v>-298.94434343433147</v>
      </c>
      <c r="O56">
        <f>N56/N57</f>
        <v>-25.488312667466509</v>
      </c>
      <c r="P56" t="e">
        <f>_xlfn.F.DIST.RT(O56,M56,M57)</f>
        <v>#NUM!</v>
      </c>
      <c r="Q56">
        <f>L56/(L56+L57)</f>
        <v>-0.59956012726788965</v>
      </c>
      <c r="S56" s="38" t="str">
        <v/>
      </c>
      <c r="T56" s="38">
        <v>13.4</v>
      </c>
      <c r="U56" s="38">
        <v>15.9</v>
      </c>
    </row>
    <row r="57" spans="2:21" x14ac:dyDescent="0.25">
      <c r="B57" s="6" t="s">
        <v>35</v>
      </c>
      <c r="C57" s="8" t="s">
        <v>20</v>
      </c>
      <c r="D57" s="24">
        <v>16.100000000000001</v>
      </c>
      <c r="K57" t="s">
        <v>79</v>
      </c>
      <c r="L57">
        <f>SUM(G66:H67)*(G54-1)</f>
        <v>797.55045454545291</v>
      </c>
      <c r="M57">
        <f>M58-M54-M55-M56</f>
        <v>68</v>
      </c>
      <c r="N57">
        <f>L57/M57</f>
        <v>11.728683155080191</v>
      </c>
      <c r="S57" s="38" t="str">
        <v/>
      </c>
      <c r="T57" s="38">
        <v>11.3</v>
      </c>
      <c r="U57" s="38">
        <v>16.399999999999999</v>
      </c>
    </row>
    <row r="58" spans="2:21" x14ac:dyDescent="0.25">
      <c r="B58" s="6" t="s">
        <v>30</v>
      </c>
      <c r="C58" s="8" t="s">
        <v>20</v>
      </c>
      <c r="D58" s="24">
        <v>16.8</v>
      </c>
      <c r="F58" t="s">
        <v>22</v>
      </c>
      <c r="K58" s="19" t="s">
        <v>80</v>
      </c>
      <c r="L58" s="19">
        <f>N58*M58</f>
        <v>682.42652777778858</v>
      </c>
      <c r="M58" s="19">
        <f>I56-1</f>
        <v>71</v>
      </c>
      <c r="N58" s="19">
        <f>I68</f>
        <v>9.6116412363068822</v>
      </c>
      <c r="O58" s="19"/>
      <c r="P58" s="19"/>
      <c r="Q58" s="19"/>
      <c r="S58" s="38" t="str">
        <v/>
      </c>
      <c r="T58" s="38">
        <v>12</v>
      </c>
      <c r="U58" s="38">
        <v>20.6</v>
      </c>
    </row>
    <row r="59" spans="2:21" x14ac:dyDescent="0.25">
      <c r="B59" s="6" t="s">
        <v>30</v>
      </c>
      <c r="C59" s="8" t="s">
        <v>20</v>
      </c>
      <c r="D59" s="24">
        <v>16.2</v>
      </c>
      <c r="G59" t="str">
        <f t="array" ref="G59:H59">TRANSPOSE([1]!SortUnique(C50:C121))</f>
        <v>ANTES</v>
      </c>
      <c r="H59" t="str">
        <v>DESPUÉS</v>
      </c>
      <c r="S59" s="38" t="str">
        <v/>
      </c>
      <c r="T59" s="38">
        <v>16.8</v>
      </c>
      <c r="U59" s="38">
        <v>18.100000000000001</v>
      </c>
    </row>
    <row r="60" spans="2:21" x14ac:dyDescent="0.25">
      <c r="B60" s="6" t="s">
        <v>30</v>
      </c>
      <c r="C60" s="8" t="s">
        <v>20</v>
      </c>
      <c r="D60" s="24">
        <v>17.8</v>
      </c>
      <c r="F60" t="str">
        <f t="array" ref="F60:F61">[1]!SortUnique(B50:B121)</f>
        <v>F</v>
      </c>
      <c r="G60" s="31">
        <f t="array" ref="G60">AVERAGEIFS($D$50:$D$121,$B$50:$B$121,$F60,$C$50:$C$121,G$59)</f>
        <v>15.470833333333333</v>
      </c>
      <c r="H60" s="32">
        <f t="array" ref="H60">AVERAGEIFS($D$50:$D$121,$B$50:$B$121,$F60,$C$50:$C$121,H$59)</f>
        <v>18.295833333333338</v>
      </c>
      <c r="I60">
        <f t="array" ref="I60">AVERAGE(G60:H60)</f>
        <v>16.883333333333336</v>
      </c>
      <c r="S60" s="38" t="str">
        <v/>
      </c>
      <c r="T60" s="38">
        <v>16.2</v>
      </c>
      <c r="U60" s="38">
        <v>23.8</v>
      </c>
    </row>
    <row r="61" spans="2:21" x14ac:dyDescent="0.25">
      <c r="B61" s="6" t="s">
        <v>35</v>
      </c>
      <c r="C61" s="8" t="s">
        <v>20</v>
      </c>
      <c r="D61" s="24">
        <v>15.2</v>
      </c>
      <c r="F61" t="str">
        <v>M</v>
      </c>
      <c r="G61" s="33">
        <f t="array" ref="G61">AVERAGEIFS($D$50:$D$121,$B$50:$B$121,$F61,$C$50:$C$121,G$59)</f>
        <v>14.391666666666667</v>
      </c>
      <c r="H61" s="34">
        <f t="array" ref="H61">AVERAGEIFS($D$50:$D$121,$B$50:$B$121,$F61,$C$50:$C$121,H$59)</f>
        <v>17.633333333333333</v>
      </c>
      <c r="I61">
        <f t="array" ref="I61">AVERAGE(G61:H61)</f>
        <v>16.012499999999999</v>
      </c>
      <c r="K61" t="s">
        <v>12</v>
      </c>
      <c r="S61" s="38" t="str">
        <v/>
      </c>
      <c r="T61" s="38">
        <v>17.8</v>
      </c>
      <c r="U61" s="38">
        <v>19.3</v>
      </c>
    </row>
    <row r="62" spans="2:21" x14ac:dyDescent="0.25">
      <c r="B62" s="6" t="s">
        <v>30</v>
      </c>
      <c r="C62" s="8" t="s">
        <v>20</v>
      </c>
      <c r="D62" s="24">
        <v>15.7</v>
      </c>
      <c r="G62">
        <f t="array" ref="G62">AVERAGE(G60:G61)</f>
        <v>14.93125</v>
      </c>
      <c r="H62">
        <f t="array" ref="H62">AVERAGE(H60:H61)</f>
        <v>17.964583333333337</v>
      </c>
      <c r="I62">
        <f t="array" ref="I62">AVERAGE(I60:I61)</f>
        <v>16.447916666666668</v>
      </c>
      <c r="K62" t="s">
        <v>72</v>
      </c>
      <c r="M62" t="s">
        <v>22</v>
      </c>
      <c r="N62" t="s">
        <v>23</v>
      </c>
      <c r="S62" s="38" t="str">
        <v/>
      </c>
      <c r="T62" s="38">
        <v>15.7</v>
      </c>
      <c r="U62" s="38">
        <v>17.399999999999999</v>
      </c>
    </row>
    <row r="63" spans="2:21" x14ac:dyDescent="0.25">
      <c r="B63" s="6" t="s">
        <v>30</v>
      </c>
      <c r="C63" s="8" t="s">
        <v>20</v>
      </c>
      <c r="D63" s="24">
        <v>16.600000000000001</v>
      </c>
      <c r="K63" t="s">
        <v>29</v>
      </c>
      <c r="L63" t="s">
        <v>30</v>
      </c>
      <c r="M63">
        <v>16.883333333333336</v>
      </c>
      <c r="N63">
        <v>0.21714696202715181</v>
      </c>
      <c r="S63" s="38" t="str">
        <v/>
      </c>
      <c r="T63" s="38">
        <v>16.600000000000001</v>
      </c>
      <c r="U63" s="38">
        <v>17.899999999999999</v>
      </c>
    </row>
    <row r="64" spans="2:21" x14ac:dyDescent="0.25">
      <c r="B64" s="6" t="s">
        <v>35</v>
      </c>
      <c r="C64" s="8" t="s">
        <v>20</v>
      </c>
      <c r="D64" s="24">
        <v>12.3</v>
      </c>
      <c r="F64" t="s">
        <v>81</v>
      </c>
      <c r="L64" t="s">
        <v>35</v>
      </c>
      <c r="M64">
        <v>16.012499999999999</v>
      </c>
      <c r="S64" s="38" t="str">
        <v/>
      </c>
      <c r="T64" s="38">
        <v>16.8</v>
      </c>
      <c r="U64" s="38">
        <v>18.8</v>
      </c>
    </row>
    <row r="65" spans="2:21" x14ac:dyDescent="0.25">
      <c r="B65" s="6" t="s">
        <v>35</v>
      </c>
      <c r="C65" s="8" t="s">
        <v>20</v>
      </c>
      <c r="D65" s="24">
        <v>15.9</v>
      </c>
      <c r="G65" t="str">
        <f t="array" ref="G65:H65">TRANSPOSE([1]!SortUnique(C50:C121))</f>
        <v>ANTES</v>
      </c>
      <c r="H65" t="str">
        <v>DESPUÉS</v>
      </c>
      <c r="K65" t="s">
        <v>36</v>
      </c>
      <c r="L65" t="s">
        <v>20</v>
      </c>
      <c r="M65">
        <v>14.93125</v>
      </c>
      <c r="N65">
        <v>3.5828343158220101E-4</v>
      </c>
      <c r="S65" s="38" t="str">
        <v/>
      </c>
      <c r="T65" s="38">
        <v>15.3</v>
      </c>
      <c r="U65" s="38">
        <v>17.399999999999999</v>
      </c>
    </row>
    <row r="66" spans="2:21" x14ac:dyDescent="0.25">
      <c r="B66" s="6" t="s">
        <v>30</v>
      </c>
      <c r="C66" s="8" t="s">
        <v>20</v>
      </c>
      <c r="D66" s="24">
        <v>16.8</v>
      </c>
      <c r="F66" t="str">
        <f t="array" ref="F66:F67">[1]!SortUnique(B50:B121)</f>
        <v>F</v>
      </c>
      <c r="G66" s="31">
        <f t="array" ref="G66">_xlfn.VAR.S(IF(($B$50:$B$121=$F66)*($C$50:$C$121=G$65),$D$50:$D$121))</f>
        <v>6.1421557971015037</v>
      </c>
      <c r="H66" s="32">
        <f t="array" ref="H66">_xlfn.VAR.S(IF(($B$50:$B$121=$F66)*($C$50:$C$121=H$65),$D$50:$D$121))</f>
        <v>4.6943297101448165</v>
      </c>
      <c r="I66">
        <f t="array" ref="I66">_xlfn.VAR.S(IF($B$50:$B$121=$F66,$D$50:$D$121))</f>
        <v>7.3405673758866694</v>
      </c>
      <c r="L66" t="s">
        <v>28</v>
      </c>
      <c r="M66">
        <v>17.964583333333337</v>
      </c>
      <c r="S66" s="38" t="str">
        <v/>
      </c>
      <c r="T66" s="38">
        <v>18.899999999999999</v>
      </c>
      <c r="U66" s="38">
        <v>20</v>
      </c>
    </row>
    <row r="67" spans="2:21" x14ac:dyDescent="0.25">
      <c r="B67" s="6" t="s">
        <v>30</v>
      </c>
      <c r="C67" s="8" t="s">
        <v>20</v>
      </c>
      <c r="D67" s="24">
        <v>15.3</v>
      </c>
      <c r="F67" t="str">
        <v>M</v>
      </c>
      <c r="G67" s="33">
        <f t="array" ref="G67">_xlfn.VAR.S(IF(($B$50:$B$121=$F67)*($C$50:$C$121=G$65),$D$50:$D$121))</f>
        <v>4.7535606060605877</v>
      </c>
      <c r="H67" s="34">
        <f t="array" ref="H67">_xlfn.VAR.S(IF(($B$50:$B$121=$F67)*($C$50:$C$121=H$65),$D$50:$D$121))</f>
        <v>19.08606060606061</v>
      </c>
      <c r="I67">
        <f t="array" ref="I67">_xlfn.VAR.S(IF($B$50:$B$121=$F67,$D$50:$D$121))</f>
        <v>14.142880434782693</v>
      </c>
      <c r="S67" s="38" t="str">
        <v/>
      </c>
      <c r="T67" s="38">
        <v>15.5</v>
      </c>
      <c r="U67" s="38">
        <v>17</v>
      </c>
    </row>
    <row r="68" spans="2:21" x14ac:dyDescent="0.25">
      <c r="B68" s="6" t="s">
        <v>35</v>
      </c>
      <c r="C68" s="8" t="s">
        <v>20</v>
      </c>
      <c r="D68" s="24">
        <v>13.7</v>
      </c>
      <c r="G68">
        <f t="array" ref="G68">_xlfn.VAR.S(IF($C$50:$C$121=G$65,$D$50:$D$121))</f>
        <v>5.796444444444413</v>
      </c>
      <c r="H68">
        <f t="array" ref="H68">_xlfn.VAR.S(IF($C$50:$C$121=H$65,$D$50:$D$121))</f>
        <v>9.1836428571428517</v>
      </c>
      <c r="I68">
        <f>_xlfn.VAR.S(D50:D121)</f>
        <v>9.6116412363068822</v>
      </c>
      <c r="S68" s="38" t="str">
        <v/>
      </c>
      <c r="T68" s="38">
        <v>19.5</v>
      </c>
      <c r="U68" s="38">
        <v>19.8</v>
      </c>
    </row>
    <row r="69" spans="2:21" x14ac:dyDescent="0.25">
      <c r="B69" s="6" t="s">
        <v>35</v>
      </c>
      <c r="C69" s="8" t="s">
        <v>20</v>
      </c>
      <c r="D69" s="24">
        <v>13.6</v>
      </c>
      <c r="S69" s="38" t="str">
        <v/>
      </c>
      <c r="T69" s="38">
        <v>19.100000000000001</v>
      </c>
      <c r="U69" s="38">
        <v>20.2</v>
      </c>
    </row>
    <row r="70" spans="2:21" x14ac:dyDescent="0.25">
      <c r="B70" s="6" t="s">
        <v>35</v>
      </c>
      <c r="C70" s="8" t="s">
        <v>20</v>
      </c>
      <c r="D70" s="24">
        <v>14.8</v>
      </c>
      <c r="S70" s="38" t="str">
        <v/>
      </c>
      <c r="T70" s="38">
        <v>16.5</v>
      </c>
      <c r="U70" s="38">
        <v>17.600000000000001</v>
      </c>
    </row>
    <row r="71" spans="2:21" x14ac:dyDescent="0.25">
      <c r="B71" s="6" t="s">
        <v>35</v>
      </c>
      <c r="C71" s="8" t="s">
        <v>20</v>
      </c>
      <c r="D71" s="24">
        <v>9.1</v>
      </c>
      <c r="S71" s="38" t="str">
        <v/>
      </c>
      <c r="T71" s="38">
        <v>15.5</v>
      </c>
      <c r="U71" s="38">
        <v>16.8</v>
      </c>
    </row>
    <row r="72" spans="2:21" x14ac:dyDescent="0.25">
      <c r="B72" s="6" t="s">
        <v>30</v>
      </c>
      <c r="C72" s="8" t="s">
        <v>20</v>
      </c>
      <c r="D72" s="24">
        <v>18.899999999999999</v>
      </c>
      <c r="S72" s="38" t="str">
        <v/>
      </c>
      <c r="T72" s="38">
        <v>16.399999999999999</v>
      </c>
      <c r="U72" s="38">
        <v>20.399999999999999</v>
      </c>
    </row>
    <row r="73" spans="2:21" x14ac:dyDescent="0.25">
      <c r="B73" s="6" t="s">
        <v>35</v>
      </c>
      <c r="C73" s="8" t="s">
        <v>20</v>
      </c>
      <c r="D73" s="24">
        <v>15.8</v>
      </c>
      <c r="S73" s="38" t="str">
        <v/>
      </c>
      <c r="T73" s="38">
        <v>15.8</v>
      </c>
      <c r="U73" s="38">
        <v>17.5</v>
      </c>
    </row>
    <row r="74" spans="2:21" x14ac:dyDescent="0.25">
      <c r="B74" s="6" t="s">
        <v>30</v>
      </c>
      <c r="C74" s="8" t="s">
        <v>20</v>
      </c>
      <c r="D74" s="24">
        <v>15.5</v>
      </c>
      <c r="S74" s="38" t="str">
        <v/>
      </c>
      <c r="T74" s="38">
        <v>10</v>
      </c>
      <c r="U74" s="38">
        <v>15.5</v>
      </c>
    </row>
    <row r="75" spans="2:21" x14ac:dyDescent="0.25">
      <c r="B75" s="6" t="s">
        <v>30</v>
      </c>
      <c r="C75" s="8" t="s">
        <v>20</v>
      </c>
      <c r="D75" s="24">
        <v>19.5</v>
      </c>
      <c r="S75" s="38" t="str">
        <v/>
      </c>
      <c r="T75" s="38">
        <v>16.600000000000001</v>
      </c>
      <c r="U75" s="38">
        <v>18.600000000000001</v>
      </c>
    </row>
    <row r="76" spans="2:21" x14ac:dyDescent="0.25">
      <c r="B76" s="6" t="s">
        <v>30</v>
      </c>
      <c r="C76" s="8" t="s">
        <v>20</v>
      </c>
      <c r="D76" s="24">
        <v>19.100000000000001</v>
      </c>
      <c r="S76" s="39" t="str">
        <v/>
      </c>
      <c r="T76" s="39">
        <v>14.5</v>
      </c>
      <c r="U76" s="39">
        <v>16</v>
      </c>
    </row>
    <row r="77" spans="2:21" x14ac:dyDescent="0.25">
      <c r="B77" s="6" t="s">
        <v>35</v>
      </c>
      <c r="C77" s="8" t="s">
        <v>20</v>
      </c>
      <c r="D77" s="24">
        <v>17.600000000000001</v>
      </c>
      <c r="S77" s="37" t="str">
        <v>M</v>
      </c>
      <c r="T77" s="37">
        <v>13.8</v>
      </c>
      <c r="U77" s="37">
        <v>19</v>
      </c>
    </row>
    <row r="78" spans="2:21" x14ac:dyDescent="0.25">
      <c r="B78" s="6" t="s">
        <v>35</v>
      </c>
      <c r="C78" s="8" t="s">
        <v>20</v>
      </c>
      <c r="D78" s="24">
        <v>14.8</v>
      </c>
      <c r="S78" s="38" t="str">
        <v/>
      </c>
      <c r="T78" s="38">
        <v>16.100000000000001</v>
      </c>
      <c r="U78" s="38">
        <v>15.6</v>
      </c>
    </row>
    <row r="79" spans="2:21" x14ac:dyDescent="0.25">
      <c r="B79" s="6" t="s">
        <v>30</v>
      </c>
      <c r="C79" s="8" t="s">
        <v>20</v>
      </c>
      <c r="D79" s="24">
        <v>16.5</v>
      </c>
      <c r="S79" s="38" t="str">
        <v/>
      </c>
      <c r="T79" s="38">
        <v>15.2</v>
      </c>
      <c r="U79" s="38">
        <v>26.9</v>
      </c>
    </row>
    <row r="80" spans="2:21" x14ac:dyDescent="0.25">
      <c r="B80" s="6" t="s">
        <v>30</v>
      </c>
      <c r="C80" s="8" t="s">
        <v>20</v>
      </c>
      <c r="D80" s="24">
        <v>15.5</v>
      </c>
      <c r="S80" s="38" t="str">
        <v/>
      </c>
      <c r="T80" s="38">
        <v>12.3</v>
      </c>
      <c r="U80" s="38">
        <v>18.5</v>
      </c>
    </row>
    <row r="81" spans="2:21" x14ac:dyDescent="0.25">
      <c r="B81" s="6" t="s">
        <v>30</v>
      </c>
      <c r="C81" s="8" t="s">
        <v>20</v>
      </c>
      <c r="D81" s="24">
        <v>16.399999999999999</v>
      </c>
      <c r="S81" s="38" t="str">
        <v/>
      </c>
      <c r="T81" s="38">
        <v>15.9</v>
      </c>
      <c r="U81" s="38">
        <v>15.8</v>
      </c>
    </row>
    <row r="82" spans="2:21" x14ac:dyDescent="0.25">
      <c r="B82" s="6" t="s">
        <v>30</v>
      </c>
      <c r="C82" s="8" t="s">
        <v>20</v>
      </c>
      <c r="D82" s="24">
        <v>15.8</v>
      </c>
      <c r="S82" s="38" t="str">
        <v/>
      </c>
      <c r="T82" s="38">
        <v>13.7</v>
      </c>
      <c r="U82" s="38">
        <v>10.5</v>
      </c>
    </row>
    <row r="83" spans="2:21" x14ac:dyDescent="0.25">
      <c r="B83" s="6" t="s">
        <v>30</v>
      </c>
      <c r="C83" s="8" t="s">
        <v>20</v>
      </c>
      <c r="D83" s="24">
        <v>10</v>
      </c>
      <c r="S83" s="38" t="str">
        <v/>
      </c>
      <c r="T83" s="38">
        <v>13.6</v>
      </c>
      <c r="U83" s="38">
        <v>15.4</v>
      </c>
    </row>
    <row r="84" spans="2:21" x14ac:dyDescent="0.25">
      <c r="B84" s="6" t="s">
        <v>30</v>
      </c>
      <c r="C84" s="8" t="s">
        <v>20</v>
      </c>
      <c r="D84" s="23">
        <v>16.600000000000001</v>
      </c>
      <c r="S84" s="38" t="str">
        <v/>
      </c>
      <c r="T84" s="38">
        <v>14.8</v>
      </c>
      <c r="U84" s="38">
        <v>16.7</v>
      </c>
    </row>
    <row r="85" spans="2:21" x14ac:dyDescent="0.25">
      <c r="B85" s="6" t="s">
        <v>30</v>
      </c>
      <c r="C85" s="8" t="s">
        <v>20</v>
      </c>
      <c r="D85" s="23">
        <v>14.5</v>
      </c>
      <c r="S85" s="38" t="str">
        <v/>
      </c>
      <c r="T85" s="38">
        <v>9.1</v>
      </c>
      <c r="U85" s="38">
        <v>11.9</v>
      </c>
    </row>
    <row r="86" spans="2:21" x14ac:dyDescent="0.25">
      <c r="B86" s="6" t="s">
        <v>30</v>
      </c>
      <c r="C86" s="15" t="s">
        <v>28</v>
      </c>
      <c r="D86" s="10">
        <v>13.8</v>
      </c>
      <c r="S86" s="38" t="str">
        <v/>
      </c>
      <c r="T86" s="38">
        <v>15.8</v>
      </c>
      <c r="U86" s="38">
        <v>19.7</v>
      </c>
    </row>
    <row r="87" spans="2:21" x14ac:dyDescent="0.25">
      <c r="B87" s="6" t="s">
        <v>30</v>
      </c>
      <c r="C87" s="15" t="s">
        <v>28</v>
      </c>
      <c r="D87" s="5">
        <v>19.3</v>
      </c>
      <c r="S87" s="38" t="str">
        <v/>
      </c>
      <c r="T87" s="38">
        <v>17.600000000000001</v>
      </c>
      <c r="U87" s="38">
        <v>20.9</v>
      </c>
    </row>
    <row r="88" spans="2:21" x14ac:dyDescent="0.25">
      <c r="B88" s="6" t="s">
        <v>30</v>
      </c>
      <c r="C88" s="15" t="s">
        <v>28</v>
      </c>
      <c r="D88" s="5">
        <v>21</v>
      </c>
      <c r="S88" s="38" t="str">
        <v/>
      </c>
      <c r="T88" s="38">
        <v>14.8</v>
      </c>
      <c r="U88" s="38">
        <v>20.7</v>
      </c>
    </row>
    <row r="89" spans="2:21" x14ac:dyDescent="0.25">
      <c r="B89" s="6" t="s">
        <v>35</v>
      </c>
      <c r="C89" s="15" t="s">
        <v>28</v>
      </c>
      <c r="D89" s="5">
        <v>19</v>
      </c>
      <c r="S89" s="38" t="str">
        <v/>
      </c>
      <c r="T89" s="38" t="str">
        <v/>
      </c>
      <c r="U89" s="38" t="str">
        <v/>
      </c>
    </row>
    <row r="90" spans="2:21" x14ac:dyDescent="0.25">
      <c r="B90" s="6" t="s">
        <v>30</v>
      </c>
      <c r="C90" s="15" t="s">
        <v>28</v>
      </c>
      <c r="D90" s="5">
        <v>15.9</v>
      </c>
      <c r="S90" s="38" t="str">
        <v/>
      </c>
      <c r="T90" s="38" t="str">
        <v/>
      </c>
      <c r="U90" s="38" t="str">
        <v/>
      </c>
    </row>
    <row r="91" spans="2:21" x14ac:dyDescent="0.25">
      <c r="B91" s="6" t="s">
        <v>30</v>
      </c>
      <c r="C91" s="15" t="s">
        <v>28</v>
      </c>
      <c r="D91" s="5">
        <v>16.399999999999999</v>
      </c>
      <c r="S91" s="38" t="str">
        <v/>
      </c>
      <c r="T91" s="38" t="str">
        <v/>
      </c>
      <c r="U91" s="38" t="str">
        <v/>
      </c>
    </row>
    <row r="92" spans="2:21" x14ac:dyDescent="0.25">
      <c r="B92" s="6" t="s">
        <v>30</v>
      </c>
      <c r="C92" s="15" t="s">
        <v>28</v>
      </c>
      <c r="D92" s="5">
        <v>20.6</v>
      </c>
      <c r="S92" s="38" t="str">
        <v/>
      </c>
      <c r="T92" s="38" t="str">
        <v/>
      </c>
      <c r="U92" s="38" t="str">
        <v/>
      </c>
    </row>
    <row r="93" spans="2:21" x14ac:dyDescent="0.25">
      <c r="B93" s="6" t="s">
        <v>35</v>
      </c>
      <c r="C93" s="15" t="s">
        <v>28</v>
      </c>
      <c r="D93" s="5">
        <v>15.6</v>
      </c>
      <c r="S93" s="38" t="str">
        <v/>
      </c>
      <c r="T93" s="38" t="str">
        <v/>
      </c>
      <c r="U93" s="38" t="str">
        <v/>
      </c>
    </row>
    <row r="94" spans="2:21" x14ac:dyDescent="0.25">
      <c r="B94" s="6" t="s">
        <v>30</v>
      </c>
      <c r="C94" s="15" t="s">
        <v>28</v>
      </c>
      <c r="D94" s="5">
        <v>18.100000000000001</v>
      </c>
      <c r="S94" s="38" t="str">
        <v/>
      </c>
      <c r="T94" s="38" t="str">
        <v/>
      </c>
      <c r="U94" s="38" t="str">
        <v/>
      </c>
    </row>
    <row r="95" spans="2:21" x14ac:dyDescent="0.25">
      <c r="B95" s="6" t="s">
        <v>30</v>
      </c>
      <c r="C95" s="15" t="s">
        <v>28</v>
      </c>
      <c r="D95" s="5">
        <v>23.8</v>
      </c>
      <c r="S95" s="38" t="str">
        <v/>
      </c>
      <c r="T95" s="38" t="str">
        <v/>
      </c>
      <c r="U95" s="38" t="str">
        <v/>
      </c>
    </row>
    <row r="96" spans="2:21" x14ac:dyDescent="0.25">
      <c r="B96" s="6" t="s">
        <v>30</v>
      </c>
      <c r="C96" s="15" t="s">
        <v>28</v>
      </c>
      <c r="D96" s="5">
        <v>19.3</v>
      </c>
      <c r="S96" s="38" t="str">
        <v/>
      </c>
      <c r="T96" s="38" t="str">
        <v/>
      </c>
      <c r="U96" s="38" t="str">
        <v/>
      </c>
    </row>
    <row r="97" spans="2:21" x14ac:dyDescent="0.25">
      <c r="B97" s="6" t="s">
        <v>35</v>
      </c>
      <c r="C97" s="15" t="s">
        <v>28</v>
      </c>
      <c r="D97" s="5">
        <v>26.9</v>
      </c>
      <c r="S97" s="38" t="str">
        <v/>
      </c>
      <c r="T97" s="38" t="str">
        <v/>
      </c>
      <c r="U97" s="38" t="str">
        <v/>
      </c>
    </row>
    <row r="98" spans="2:21" x14ac:dyDescent="0.25">
      <c r="B98" s="6" t="s">
        <v>30</v>
      </c>
      <c r="C98" s="15" t="s">
        <v>28</v>
      </c>
      <c r="D98" s="5">
        <v>17.399999999999999</v>
      </c>
      <c r="S98" s="38" t="str">
        <v/>
      </c>
      <c r="T98" s="38" t="str">
        <v/>
      </c>
      <c r="U98" s="38" t="str">
        <v/>
      </c>
    </row>
    <row r="99" spans="2:21" x14ac:dyDescent="0.25">
      <c r="B99" s="6" t="s">
        <v>30</v>
      </c>
      <c r="C99" s="15" t="s">
        <v>28</v>
      </c>
      <c r="D99" s="5">
        <v>17.899999999999999</v>
      </c>
      <c r="S99" s="38" t="str">
        <v/>
      </c>
      <c r="T99" s="38" t="str">
        <v/>
      </c>
      <c r="U99" s="38" t="str">
        <v/>
      </c>
    </row>
    <row r="100" spans="2:21" x14ac:dyDescent="0.25">
      <c r="B100" s="6" t="s">
        <v>35</v>
      </c>
      <c r="C100" s="15" t="s">
        <v>28</v>
      </c>
      <c r="D100" s="5">
        <v>18.5</v>
      </c>
      <c r="S100" s="39" t="str">
        <v/>
      </c>
      <c r="T100" s="39" t="str">
        <v/>
      </c>
      <c r="U100" s="39" t="str">
        <v/>
      </c>
    </row>
    <row r="101" spans="2:21" x14ac:dyDescent="0.25">
      <c r="B101" s="6" t="s">
        <v>35</v>
      </c>
      <c r="C101" s="15" t="s">
        <v>28</v>
      </c>
      <c r="D101" s="5">
        <v>15.8</v>
      </c>
    </row>
    <row r="102" spans="2:21" x14ac:dyDescent="0.25">
      <c r="B102" s="6" t="s">
        <v>30</v>
      </c>
      <c r="C102" s="15" t="s">
        <v>28</v>
      </c>
      <c r="D102" s="5">
        <v>18.8</v>
      </c>
    </row>
    <row r="103" spans="2:21" x14ac:dyDescent="0.25">
      <c r="B103" s="6" t="s">
        <v>30</v>
      </c>
      <c r="C103" s="15" t="s">
        <v>28</v>
      </c>
      <c r="D103" s="5">
        <v>17.399999999999999</v>
      </c>
    </row>
    <row r="104" spans="2:21" x14ac:dyDescent="0.25">
      <c r="B104" s="6" t="s">
        <v>35</v>
      </c>
      <c r="C104" s="15" t="s">
        <v>28</v>
      </c>
      <c r="D104" s="5">
        <v>10.5</v>
      </c>
    </row>
    <row r="105" spans="2:21" x14ac:dyDescent="0.25">
      <c r="B105" s="6" t="s">
        <v>35</v>
      </c>
      <c r="C105" s="15" t="s">
        <v>28</v>
      </c>
      <c r="D105" s="5">
        <v>15.4</v>
      </c>
    </row>
    <row r="106" spans="2:21" ht="15.75" thickBot="1" x14ac:dyDescent="0.3">
      <c r="B106" s="6" t="s">
        <v>35</v>
      </c>
      <c r="C106" s="15" t="s">
        <v>28</v>
      </c>
      <c r="D106" s="5">
        <v>16.7</v>
      </c>
      <c r="F106" t="s">
        <v>82</v>
      </c>
      <c r="I106" s="35" t="s">
        <v>50</v>
      </c>
      <c r="J106">
        <v>0.05</v>
      </c>
    </row>
    <row r="107" spans="2:21" ht="15.75" thickTop="1" x14ac:dyDescent="0.25">
      <c r="B107" s="6" t="s">
        <v>35</v>
      </c>
      <c r="C107" s="15" t="s">
        <v>28</v>
      </c>
      <c r="D107" s="5">
        <v>11.9</v>
      </c>
      <c r="F107" s="36" t="s">
        <v>83</v>
      </c>
      <c r="G107" s="36" t="s">
        <v>84</v>
      </c>
      <c r="H107" s="36" t="s">
        <v>85</v>
      </c>
      <c r="I107" s="36" t="s">
        <v>39</v>
      </c>
      <c r="J107" s="36" t="s">
        <v>86</v>
      </c>
    </row>
    <row r="108" spans="2:21" x14ac:dyDescent="0.25">
      <c r="B108" s="6" t="s">
        <v>30</v>
      </c>
      <c r="C108" s="15" t="s">
        <v>28</v>
      </c>
      <c r="D108" s="5">
        <v>20</v>
      </c>
      <c r="F108" s="22" t="str">
        <f t="array" ref="F108:F109">TRANSPOSE(G59:H59)</f>
        <v>ANTES</v>
      </c>
      <c r="G108" s="22">
        <f t="array" ref="G108:G109">TRANSPOSE(G62:H62)</f>
        <v>14.93125</v>
      </c>
      <c r="H108" s="22">
        <f t="array" ref="H108:H109">TRANSPOSE(G56:H56)</f>
        <v>36</v>
      </c>
      <c r="I108" s="22"/>
      <c r="J108" s="22"/>
    </row>
    <row r="109" spans="2:21" x14ac:dyDescent="0.25">
      <c r="B109" s="6" t="s">
        <v>35</v>
      </c>
      <c r="C109" s="15" t="s">
        <v>28</v>
      </c>
      <c r="D109" s="5">
        <v>19.7</v>
      </c>
      <c r="F109" s="19" t="str">
        <v>DESPUÉS</v>
      </c>
      <c r="G109" s="19">
        <v>17.964583333333337</v>
      </c>
      <c r="H109" s="19">
        <v>36</v>
      </c>
      <c r="I109" s="19"/>
      <c r="J109" s="19"/>
    </row>
    <row r="110" spans="2:21" x14ac:dyDescent="0.25">
      <c r="B110" s="6" t="s">
        <v>30</v>
      </c>
      <c r="C110" s="15" t="s">
        <v>28</v>
      </c>
      <c r="D110" s="5">
        <v>17</v>
      </c>
      <c r="H110">
        <f>SUM(H108:H109)</f>
        <v>72</v>
      </c>
      <c r="I110">
        <f>H110-COUNT(G54:H55)</f>
        <v>68</v>
      </c>
      <c r="J110">
        <f>[1]!QCRIT(COUNT(H108:H109),I110,J106,2)</f>
        <v>2.8219411764705882</v>
      </c>
    </row>
    <row r="111" spans="2:21" ht="15.75" thickBot="1" x14ac:dyDescent="0.3">
      <c r="B111" s="6" t="s">
        <v>30</v>
      </c>
      <c r="C111" s="15" t="s">
        <v>28</v>
      </c>
      <c r="D111" s="5">
        <v>19.8</v>
      </c>
      <c r="F111" t="s">
        <v>87</v>
      </c>
    </row>
    <row r="112" spans="2:21" ht="15.75" thickTop="1" x14ac:dyDescent="0.25">
      <c r="B112" s="6" t="s">
        <v>30</v>
      </c>
      <c r="C112" s="15" t="s">
        <v>28</v>
      </c>
      <c r="D112" s="5">
        <v>20.2</v>
      </c>
      <c r="F112" s="36" t="s">
        <v>88</v>
      </c>
      <c r="G112" s="36" t="s">
        <v>89</v>
      </c>
      <c r="H112" s="36" t="s">
        <v>84</v>
      </c>
      <c r="I112" s="36" t="s">
        <v>90</v>
      </c>
      <c r="J112" s="36" t="s">
        <v>91</v>
      </c>
      <c r="K112" s="36" t="s">
        <v>92</v>
      </c>
      <c r="L112" s="36" t="s">
        <v>93</v>
      </c>
      <c r="M112" s="36" t="s">
        <v>94</v>
      </c>
      <c r="N112" s="36" t="s">
        <v>23</v>
      </c>
      <c r="O112" s="36" t="s">
        <v>95</v>
      </c>
    </row>
    <row r="113" spans="2:15" x14ac:dyDescent="0.25">
      <c r="B113" s="6" t="s">
        <v>35</v>
      </c>
      <c r="C113" s="15" t="s">
        <v>28</v>
      </c>
      <c r="D113" s="5">
        <v>20.9</v>
      </c>
      <c r="F113" s="40" t="str">
        <f>F108</f>
        <v>ANTES</v>
      </c>
      <c r="G113" s="40" t="str">
        <f>F109</f>
        <v>DESPUÉS</v>
      </c>
      <c r="H113" s="40">
        <f>ABS(G108-G109)</f>
        <v>3.0333333333333368</v>
      </c>
      <c r="I113" s="40">
        <f>SQRT(SUMPRODUCT(G66:H67*(G54:H55-1))/(HARMEAN(H108,H109)*I110))</f>
        <v>0.45709502952129255</v>
      </c>
      <c r="J113" s="40">
        <f>H113/I113</f>
        <v>6.6361109559867506</v>
      </c>
      <c r="K113" s="40">
        <f>J$110*I113</f>
        <v>1.2898952853661745</v>
      </c>
      <c r="L113" s="40">
        <f>H113-K113</f>
        <v>1.7434380479671623</v>
      </c>
      <c r="M113" s="40">
        <f>H113+K113</f>
        <v>4.3232286186995115</v>
      </c>
      <c r="N113" s="40">
        <f>[1]!QDIST(J113,COUNT(H$108:H$109),I$110)</f>
        <v>1.3500664735821566E-5</v>
      </c>
      <c r="O113" s="40">
        <f>H113/(SQRT(HARMEAN(H108,H109))*I113)</f>
        <v>1.1060184926644585</v>
      </c>
    </row>
    <row r="114" spans="2:15" x14ac:dyDescent="0.25">
      <c r="B114" s="6" t="s">
        <v>35</v>
      </c>
      <c r="C114" s="15" t="s">
        <v>28</v>
      </c>
      <c r="D114" s="5">
        <v>20.7</v>
      </c>
    </row>
    <row r="115" spans="2:15" x14ac:dyDescent="0.25">
      <c r="B115" s="6" t="s">
        <v>30</v>
      </c>
      <c r="C115" s="15" t="s">
        <v>28</v>
      </c>
      <c r="D115" s="5">
        <v>17.600000000000001</v>
      </c>
    </row>
    <row r="116" spans="2:15" x14ac:dyDescent="0.25">
      <c r="B116" s="6" t="s">
        <v>30</v>
      </c>
      <c r="C116" s="15" t="s">
        <v>28</v>
      </c>
      <c r="D116" s="5">
        <v>16.8</v>
      </c>
      <c r="G116" t="s">
        <v>12</v>
      </c>
    </row>
    <row r="117" spans="2:15" x14ac:dyDescent="0.25">
      <c r="B117" s="6" t="s">
        <v>30</v>
      </c>
      <c r="C117" s="15" t="s">
        <v>28</v>
      </c>
      <c r="D117" s="5">
        <v>20.399999999999999</v>
      </c>
      <c r="G117" t="s">
        <v>72</v>
      </c>
      <c r="I117" t="s">
        <v>22</v>
      </c>
      <c r="J117" t="s">
        <v>23</v>
      </c>
    </row>
    <row r="118" spans="2:15" x14ac:dyDescent="0.25">
      <c r="B118" s="6" t="s">
        <v>30</v>
      </c>
      <c r="C118" s="15" t="s">
        <v>28</v>
      </c>
      <c r="D118" s="5">
        <v>17.5</v>
      </c>
      <c r="G118" t="s">
        <v>29</v>
      </c>
      <c r="H118" t="s">
        <v>30</v>
      </c>
      <c r="I118">
        <v>16.883333333333336</v>
      </c>
      <c r="J118">
        <v>0.21714696202715181</v>
      </c>
    </row>
    <row r="119" spans="2:15" x14ac:dyDescent="0.25">
      <c r="B119" s="6" t="s">
        <v>30</v>
      </c>
      <c r="C119" s="15" t="s">
        <v>28</v>
      </c>
      <c r="D119" s="5">
        <v>15.5</v>
      </c>
      <c r="H119" t="s">
        <v>35</v>
      </c>
      <c r="I119">
        <v>16.012499999999999</v>
      </c>
    </row>
    <row r="120" spans="2:15" x14ac:dyDescent="0.25">
      <c r="B120" s="6" t="s">
        <v>30</v>
      </c>
      <c r="C120" s="15" t="s">
        <v>28</v>
      </c>
      <c r="D120" s="5">
        <v>18.600000000000001</v>
      </c>
      <c r="G120" t="s">
        <v>36</v>
      </c>
      <c r="H120" t="s">
        <v>20</v>
      </c>
      <c r="I120">
        <v>14.93125</v>
      </c>
      <c r="J120">
        <v>3.5828343158220101E-4</v>
      </c>
    </row>
    <row r="121" spans="2:15" x14ac:dyDescent="0.25">
      <c r="B121" s="6" t="s">
        <v>30</v>
      </c>
      <c r="C121" s="15" t="s">
        <v>28</v>
      </c>
      <c r="D121" s="5">
        <v>16</v>
      </c>
      <c r="H121" t="s">
        <v>28</v>
      </c>
      <c r="I121">
        <v>17.964583333333337</v>
      </c>
    </row>
    <row r="126" spans="2:15" x14ac:dyDescent="0.25">
      <c r="E126" s="41"/>
      <c r="F126" s="41"/>
    </row>
    <row r="127" spans="2:15" x14ac:dyDescent="0.25">
      <c r="B127" s="2"/>
      <c r="C127" s="90"/>
      <c r="D127" s="91"/>
      <c r="E127" s="41"/>
      <c r="F127" s="41"/>
    </row>
    <row r="128" spans="2:15" x14ac:dyDescent="0.25">
      <c r="B128" s="16" t="s">
        <v>46</v>
      </c>
      <c r="C128" s="29" t="s">
        <v>33</v>
      </c>
      <c r="D128" s="15" t="s">
        <v>96</v>
      </c>
      <c r="E128" s="41"/>
      <c r="F128" s="41"/>
    </row>
    <row r="129" spans="2:21" x14ac:dyDescent="0.25">
      <c r="B129" s="6" t="s">
        <v>30</v>
      </c>
      <c r="C129" s="8" t="s">
        <v>20</v>
      </c>
      <c r="D129" s="4">
        <v>10.6</v>
      </c>
      <c r="E129" s="41"/>
      <c r="F129" s="41"/>
      <c r="K129" t="s">
        <v>12</v>
      </c>
      <c r="S129" t="s">
        <v>70</v>
      </c>
    </row>
    <row r="130" spans="2:21" x14ac:dyDescent="0.25">
      <c r="B130" s="6" t="s">
        <v>30</v>
      </c>
      <c r="C130" s="8" t="s">
        <v>20</v>
      </c>
      <c r="D130" s="3">
        <v>7.9</v>
      </c>
    </row>
    <row r="131" spans="2:21" ht="15.75" thickBot="1" x14ac:dyDescent="0.3">
      <c r="B131" s="6" t="s">
        <v>30</v>
      </c>
      <c r="C131" s="8" t="s">
        <v>20</v>
      </c>
      <c r="D131" s="4">
        <v>7.3</v>
      </c>
      <c r="F131" t="s">
        <v>71</v>
      </c>
      <c r="G131" t="str">
        <f>IF(COUNTIF(G133:H134,G133)=COUNT(G133:H134),"balanced","unbalanced")</f>
        <v>unbalanced</v>
      </c>
      <c r="K131" t="s">
        <v>72</v>
      </c>
      <c r="O131" s="35" t="s">
        <v>31</v>
      </c>
      <c r="P131" s="35">
        <v>0.05</v>
      </c>
      <c r="S131" s="37" t="str">
        <f t="array" ref="S131:U179">[1]!StdAnova2(B129:D200)</f>
        <v/>
      </c>
      <c r="T131" s="37" t="str">
        <v>ANTES</v>
      </c>
      <c r="U131" s="37" t="str">
        <v>DESPUÉS</v>
      </c>
    </row>
    <row r="132" spans="2:21" ht="15.75" thickTop="1" x14ac:dyDescent="0.25">
      <c r="B132" s="6" t="s">
        <v>35</v>
      </c>
      <c r="C132" s="8" t="s">
        <v>20</v>
      </c>
      <c r="D132" s="3">
        <v>8.9</v>
      </c>
      <c r="G132" t="str">
        <f t="array" ref="G132:H132">TRANSPOSE([1]!SortUnique(C129:C200))</f>
        <v>ANTES</v>
      </c>
      <c r="H132" t="str">
        <v>DESPUÉS</v>
      </c>
      <c r="K132" s="36"/>
      <c r="L132" s="36" t="s">
        <v>73</v>
      </c>
      <c r="M132" s="36" t="s">
        <v>39</v>
      </c>
      <c r="N132" s="36" t="s">
        <v>74</v>
      </c>
      <c r="O132" s="36" t="s">
        <v>30</v>
      </c>
      <c r="P132" s="36" t="s">
        <v>23</v>
      </c>
      <c r="Q132" s="36" t="s">
        <v>75</v>
      </c>
      <c r="S132" s="37" t="str">
        <v>F</v>
      </c>
      <c r="T132" s="37">
        <v>10.6</v>
      </c>
      <c r="U132" s="37">
        <v>11.3</v>
      </c>
    </row>
    <row r="133" spans="2:21" x14ac:dyDescent="0.25">
      <c r="B133" s="6" t="s">
        <v>30</v>
      </c>
      <c r="C133" s="8" t="s">
        <v>20</v>
      </c>
      <c r="D133" s="3">
        <v>7.6</v>
      </c>
      <c r="F133" t="str">
        <f t="array" ref="F133:F134">[1]!SortUnique(B129:B200)</f>
        <v>F</v>
      </c>
      <c r="G133" s="31">
        <f t="array" ref="G133">COUNTIFS($B$129:$B$200,$F133,$C$129:$C$200,G$132)</f>
        <v>24</v>
      </c>
      <c r="H133" s="32">
        <f t="array" ref="H133">COUNTIFS($B$129:$B$200,$F133,$C$129:$C$200,H$132)</f>
        <v>24</v>
      </c>
      <c r="I133">
        <f t="array" ref="I133">SUM(G133:H133)</f>
        <v>48</v>
      </c>
      <c r="K133" t="s">
        <v>76</v>
      </c>
      <c r="L133">
        <f>DEVSQ(I139:I140)*I133</f>
        <v>1.330104166666676</v>
      </c>
      <c r="M133">
        <f>COUNT(I139:I140)-1</f>
        <v>1</v>
      </c>
      <c r="N133">
        <f>L133/M133</f>
        <v>1.330104166666676</v>
      </c>
      <c r="O133">
        <f>N133/N136</f>
        <v>8.4945664263552573E-2</v>
      </c>
      <c r="P133">
        <f>_xlfn.F.DIST.RT(O133,M133,M136)</f>
        <v>0.77159105096407321</v>
      </c>
      <c r="Q133">
        <f>L133/(L133+L136)</f>
        <v>1.2476423890008166E-3</v>
      </c>
      <c r="S133" s="38" t="str">
        <v/>
      </c>
      <c r="T133" s="38">
        <v>7.9</v>
      </c>
      <c r="U133" s="38">
        <v>9.6</v>
      </c>
    </row>
    <row r="134" spans="2:21" x14ac:dyDescent="0.25">
      <c r="B134" s="6" t="s">
        <v>30</v>
      </c>
      <c r="C134" s="8" t="s">
        <v>20</v>
      </c>
      <c r="D134" s="3">
        <v>9.1</v>
      </c>
      <c r="F134" t="str">
        <v>M</v>
      </c>
      <c r="G134" s="33">
        <f t="array" ref="G134">COUNTIFS($B$129:$B$200,$F134,$C$129:$C$200,G$132)</f>
        <v>12</v>
      </c>
      <c r="H134" s="34">
        <f t="array" ref="H134">COUNTIFS($B$129:$B$200,$F134,$C$129:$C$200,H$132)</f>
        <v>12</v>
      </c>
      <c r="I134">
        <f t="array" ref="I134">SUM(G134:H134)</f>
        <v>24</v>
      </c>
      <c r="K134" t="s">
        <v>77</v>
      </c>
      <c r="L134">
        <f>DEVSQ(G141:H141)*G135</f>
        <v>121.09570312499984</v>
      </c>
      <c r="M134">
        <f>COUNT(G141:H141)-1</f>
        <v>1</v>
      </c>
      <c r="N134">
        <f>L134/M134</f>
        <v>121.09570312499984</v>
      </c>
      <c r="O134">
        <f>N134/N136</f>
        <v>7.7336461302830282</v>
      </c>
      <c r="P134">
        <f>_xlfn.F.DIST.RT(O134,M134,M136)</f>
        <v>7.0059873110578982E-3</v>
      </c>
      <c r="Q134">
        <f>L134/(L134+L136)</f>
        <v>0.10211638453243088</v>
      </c>
      <c r="S134" s="38" t="str">
        <v/>
      </c>
      <c r="T134" s="38">
        <v>7.3</v>
      </c>
      <c r="U134" s="38">
        <v>10.1</v>
      </c>
    </row>
    <row r="135" spans="2:21" x14ac:dyDescent="0.25">
      <c r="B135" s="6" t="s">
        <v>30</v>
      </c>
      <c r="C135" s="8" t="s">
        <v>20</v>
      </c>
      <c r="D135" s="3">
        <v>9.4</v>
      </c>
      <c r="G135">
        <f t="array" ref="G135">SUM(G133:G134)</f>
        <v>36</v>
      </c>
      <c r="H135">
        <f t="array" ref="H135">SUM(H133:H134)</f>
        <v>36</v>
      </c>
      <c r="I135">
        <f t="array" ref="I135">SUM(I133:I134)</f>
        <v>72</v>
      </c>
      <c r="K135" t="s">
        <v>78</v>
      </c>
      <c r="L135">
        <f>L137-L133-L134-L136</f>
        <v>-342.79992345328446</v>
      </c>
      <c r="M135">
        <f>M134*M133</f>
        <v>1</v>
      </c>
      <c r="N135">
        <f>L135/M135</f>
        <v>-342.79992345328446</v>
      </c>
      <c r="O135">
        <f>N135/N136</f>
        <v>-21.892546416277437</v>
      </c>
      <c r="P135" t="e">
        <f>_xlfn.F.DIST.RT(O135,M135,M136)</f>
        <v>#NUM!</v>
      </c>
      <c r="Q135">
        <f>L135/(L135+L136)</f>
        <v>-0.4748157773780467</v>
      </c>
      <c r="S135" s="38" t="str">
        <v/>
      </c>
      <c r="T135" s="38">
        <v>7.6</v>
      </c>
      <c r="U135" s="38">
        <v>10.4</v>
      </c>
    </row>
    <row r="136" spans="2:21" x14ac:dyDescent="0.25">
      <c r="B136" s="6" t="s">
        <v>35</v>
      </c>
      <c r="C136" s="8" t="s">
        <v>20</v>
      </c>
      <c r="D136" s="3">
        <v>10.199999999999999</v>
      </c>
      <c r="K136" t="s">
        <v>79</v>
      </c>
      <c r="L136">
        <f>SUM(G145:H146)*(G133-1)</f>
        <v>1064.7639772727268</v>
      </c>
      <c r="M136">
        <f>M137-M133-M134-M135</f>
        <v>68</v>
      </c>
      <c r="N136">
        <f>L136/M136</f>
        <v>15.658293783422453</v>
      </c>
      <c r="S136" s="38" t="str">
        <v/>
      </c>
      <c r="T136" s="38">
        <v>9.1</v>
      </c>
      <c r="U136" s="38">
        <v>10.3</v>
      </c>
    </row>
    <row r="137" spans="2:21" x14ac:dyDescent="0.25">
      <c r="B137" s="6" t="s">
        <v>30</v>
      </c>
      <c r="C137" s="8" t="s">
        <v>20</v>
      </c>
      <c r="D137" s="3">
        <v>8.1999999999999993</v>
      </c>
      <c r="F137" t="s">
        <v>22</v>
      </c>
      <c r="K137" s="19" t="s">
        <v>80</v>
      </c>
      <c r="L137" s="19">
        <f>N137*M137</f>
        <v>844.38986111110898</v>
      </c>
      <c r="M137" s="19">
        <f>I135-1</f>
        <v>71</v>
      </c>
      <c r="N137" s="19">
        <f>I147</f>
        <v>11.892814945226887</v>
      </c>
      <c r="O137" s="19"/>
      <c r="P137" s="19"/>
      <c r="Q137" s="19"/>
      <c r="S137" s="38" t="str">
        <v/>
      </c>
      <c r="T137" s="38">
        <v>9.4</v>
      </c>
      <c r="U137" s="38">
        <v>10.1</v>
      </c>
    </row>
    <row r="138" spans="2:21" x14ac:dyDescent="0.25">
      <c r="B138" s="6" t="s">
        <v>30</v>
      </c>
      <c r="C138" s="8" t="s">
        <v>20</v>
      </c>
      <c r="D138" s="3">
        <v>7.9</v>
      </c>
      <c r="G138" t="str">
        <f t="array" ref="G138:H138">TRANSPOSE([1]!SortUnique(C129:C200))</f>
        <v>ANTES</v>
      </c>
      <c r="H138" t="str">
        <v>DESPUÉS</v>
      </c>
      <c r="S138" s="38" t="str">
        <v/>
      </c>
      <c r="T138" s="38">
        <v>8.1999999999999993</v>
      </c>
      <c r="U138" s="38">
        <v>9.4</v>
      </c>
    </row>
    <row r="139" spans="2:21" x14ac:dyDescent="0.25">
      <c r="B139" s="6" t="s">
        <v>30</v>
      </c>
      <c r="C139" s="8" t="s">
        <v>20</v>
      </c>
      <c r="D139" s="3">
        <v>10</v>
      </c>
      <c r="F139" t="str">
        <f t="array" ref="F139:F140">[1]!SortUnique(B129:B200)</f>
        <v>F</v>
      </c>
      <c r="G139" s="31">
        <f t="array" ref="G139">AVERAGEIFS($D$129:$D$200,$B$129:$B$200,$F139,$C$129:$C$200,G$138)</f>
        <v>10.816666666666668</v>
      </c>
      <c r="H139" s="32">
        <f t="array" ref="H139">AVERAGEIFS($D$129:$D$200,$B$129:$B$200,$F139,$C$129:$C$200,H$138)</f>
        <v>12.987499999999999</v>
      </c>
      <c r="I139">
        <f t="array" ref="I139">AVERAGE(G139:H139)</f>
        <v>11.902083333333334</v>
      </c>
      <c r="S139" s="38" t="str">
        <v/>
      </c>
      <c r="T139" s="38">
        <v>7.9</v>
      </c>
      <c r="U139" s="38">
        <v>15</v>
      </c>
    </row>
    <row r="140" spans="2:21" x14ac:dyDescent="0.25">
      <c r="B140" s="6" t="s">
        <v>35</v>
      </c>
      <c r="C140" s="8" t="s">
        <v>20</v>
      </c>
      <c r="D140" s="3">
        <v>5.2</v>
      </c>
      <c r="F140" t="str">
        <v>M</v>
      </c>
      <c r="G140" s="33">
        <f t="array" ref="G140">AVERAGEIFS($D$129:$D$200,$B$129:$B$200,$F140,$C$129:$C$200,G$138)</f>
        <v>10.158333333333333</v>
      </c>
      <c r="H140" s="34">
        <f t="array" ref="H140">AVERAGEIFS($D$129:$D$200,$B$129:$B$200,$F140,$C$129:$C$200,H$138)</f>
        <v>13.174999999999999</v>
      </c>
      <c r="I140">
        <f t="array" ref="I140">AVERAGE(G140:H140)</f>
        <v>11.666666666666666</v>
      </c>
      <c r="S140" s="38" t="str">
        <v/>
      </c>
      <c r="T140" s="38">
        <v>10</v>
      </c>
      <c r="U140" s="38">
        <v>11.1</v>
      </c>
    </row>
    <row r="141" spans="2:21" x14ac:dyDescent="0.25">
      <c r="B141" s="6" t="s">
        <v>30</v>
      </c>
      <c r="C141" s="8" t="s">
        <v>20</v>
      </c>
      <c r="D141" s="3">
        <v>5.6</v>
      </c>
      <c r="G141">
        <f t="array" ref="G141">AVERAGE(G139:G140)</f>
        <v>10.487500000000001</v>
      </c>
      <c r="H141">
        <f t="array" ref="H141">AVERAGE(H139:H140)</f>
        <v>13.081249999999999</v>
      </c>
      <c r="I141">
        <f t="array" ref="I141">AVERAGE(I139:I140)</f>
        <v>11.784375000000001</v>
      </c>
      <c r="S141" s="38" t="str">
        <v/>
      </c>
      <c r="T141" s="38">
        <v>5.6</v>
      </c>
      <c r="U141" s="38">
        <v>9.9</v>
      </c>
    </row>
    <row r="142" spans="2:21" x14ac:dyDescent="0.25">
      <c r="B142" s="6" t="s">
        <v>30</v>
      </c>
      <c r="C142" s="8" t="s">
        <v>20</v>
      </c>
      <c r="D142" s="3">
        <v>8.3000000000000007</v>
      </c>
      <c r="S142" s="38" t="str">
        <v/>
      </c>
      <c r="T142" s="38">
        <v>8.3000000000000007</v>
      </c>
      <c r="U142" s="38">
        <v>9.1</v>
      </c>
    </row>
    <row r="143" spans="2:21" x14ac:dyDescent="0.25">
      <c r="B143" s="6" t="s">
        <v>35</v>
      </c>
      <c r="C143" s="8" t="s">
        <v>20</v>
      </c>
      <c r="D143" s="3">
        <v>5.8</v>
      </c>
      <c r="F143" t="s">
        <v>81</v>
      </c>
      <c r="S143" s="38" t="str">
        <v/>
      </c>
      <c r="T143" s="38">
        <v>10.4</v>
      </c>
      <c r="U143" s="38">
        <v>13.8</v>
      </c>
    </row>
    <row r="144" spans="2:21" x14ac:dyDescent="0.25">
      <c r="B144" s="6" t="s">
        <v>35</v>
      </c>
      <c r="C144" s="8" t="s">
        <v>20</v>
      </c>
      <c r="D144" s="3">
        <v>8.8000000000000007</v>
      </c>
      <c r="G144" t="str">
        <f t="array" ref="G144:H144">TRANSPOSE([1]!SortUnique(C129:C200))</f>
        <v>ANTES</v>
      </c>
      <c r="H144" t="str">
        <v>DESPUÉS</v>
      </c>
      <c r="S144" s="38" t="str">
        <v/>
      </c>
      <c r="T144" s="38">
        <v>10.4</v>
      </c>
      <c r="U144" s="38">
        <v>11.3</v>
      </c>
    </row>
    <row r="145" spans="2:21" x14ac:dyDescent="0.25">
      <c r="B145" s="6" t="s">
        <v>30</v>
      </c>
      <c r="C145" s="8" t="s">
        <v>20</v>
      </c>
      <c r="D145" s="3">
        <v>10.4</v>
      </c>
      <c r="F145" t="str">
        <f t="array" ref="F145:F146">[1]!SortUnique(B129:B200)</f>
        <v>F</v>
      </c>
      <c r="G145" s="31">
        <f t="array" ref="G145">_xlfn.VAR.S(IF(($B$129:$B$200=$F145)*($C$129:$C$200=G$144),$D$129:$D$200))</f>
        <v>10.50579710144925</v>
      </c>
      <c r="H145" s="32">
        <f t="array" ref="H145">_xlfn.VAR.S(IF(($B$129:$B$200=$F145)*($C$129:$C$200=H$144),$D$129:$D$200))</f>
        <v>8.087228260869562</v>
      </c>
      <c r="I145">
        <f t="array" ref="I145">_xlfn.VAR.S(IF($B$129:$B$200=$F145,$D$129:$D$200))</f>
        <v>10.301910460992907</v>
      </c>
      <c r="S145" s="38" t="str">
        <v/>
      </c>
      <c r="T145" s="38">
        <v>16.5</v>
      </c>
      <c r="U145" s="38">
        <v>17.399999999999999</v>
      </c>
    </row>
    <row r="146" spans="2:21" x14ac:dyDescent="0.25">
      <c r="B146" s="6" t="s">
        <v>30</v>
      </c>
      <c r="C146" s="8" t="s">
        <v>20</v>
      </c>
      <c r="D146" s="3">
        <v>10.4</v>
      </c>
      <c r="F146" t="str">
        <v>M</v>
      </c>
      <c r="G146" s="33">
        <f t="array" ref="G146">_xlfn.VAR.S(IF(($B$129:$B$200=$F146)*($C$129:$C$200=G$144),$D$129:$D$200))</f>
        <v>13.36446969696968</v>
      </c>
      <c r="H146" s="34">
        <f t="array" ref="H146">_xlfn.VAR.S(IF(($B$129:$B$200=$F146)*($C$129:$C$200=H$144),$D$129:$D$200))</f>
        <v>14.336590909090939</v>
      </c>
      <c r="I146">
        <f t="array" ref="I146">_xlfn.VAR.S(IF($B$129:$B$200=$F146,$D$129:$D$200))</f>
        <v>15.622318840579698</v>
      </c>
      <c r="S146" s="38" t="str">
        <v/>
      </c>
      <c r="T146" s="38">
        <v>13.2</v>
      </c>
      <c r="U146" s="38">
        <v>14.8</v>
      </c>
    </row>
    <row r="147" spans="2:21" x14ac:dyDescent="0.25">
      <c r="B147" s="6" t="s">
        <v>35</v>
      </c>
      <c r="C147" s="8" t="s">
        <v>20</v>
      </c>
      <c r="D147" s="3">
        <v>8</v>
      </c>
      <c r="G147">
        <f t="array" ref="G147">_xlfn.VAR.S(IF($C$129:$C$200=G$144,$D$129:$D$200))</f>
        <v>11.203134920634939</v>
      </c>
      <c r="H147">
        <f t="array" ref="H147">_xlfn.VAR.S(IF($C$129:$C$200=H$144,$D$129:$D$200))</f>
        <v>9.8282857142857605</v>
      </c>
      <c r="I147">
        <f>_xlfn.VAR.S(D129:D200)</f>
        <v>11.892814945226887</v>
      </c>
      <c r="S147" s="38" t="str">
        <v/>
      </c>
      <c r="T147" s="38">
        <v>16.899999999999999</v>
      </c>
      <c r="U147" s="38">
        <v>17.2</v>
      </c>
    </row>
    <row r="148" spans="2:21" x14ac:dyDescent="0.25">
      <c r="B148" s="6" t="s">
        <v>35</v>
      </c>
      <c r="C148" s="8" t="s">
        <v>20</v>
      </c>
      <c r="D148" s="3">
        <v>17</v>
      </c>
      <c r="S148" s="38" t="str">
        <v/>
      </c>
      <c r="T148" s="38">
        <v>16.2</v>
      </c>
      <c r="U148" s="38">
        <v>17.399999999999999</v>
      </c>
    </row>
    <row r="149" spans="2:21" x14ac:dyDescent="0.25">
      <c r="B149" s="6" t="s">
        <v>35</v>
      </c>
      <c r="C149" s="8" t="s">
        <v>20</v>
      </c>
      <c r="D149" s="3">
        <v>7.9</v>
      </c>
      <c r="S149" s="38" t="str">
        <v/>
      </c>
      <c r="T149" s="38">
        <v>14.4</v>
      </c>
      <c r="U149" s="38">
        <v>15.5</v>
      </c>
    </row>
    <row r="150" spans="2:21" x14ac:dyDescent="0.25">
      <c r="B150" s="6" t="s">
        <v>35</v>
      </c>
      <c r="C150" s="8" t="s">
        <v>20</v>
      </c>
      <c r="D150" s="3">
        <v>8.8000000000000007</v>
      </c>
      <c r="G150" t="s">
        <v>12</v>
      </c>
      <c r="S150" s="38" t="str">
        <v/>
      </c>
      <c r="T150" s="38">
        <v>13.5</v>
      </c>
      <c r="U150" s="38">
        <v>14.6</v>
      </c>
    </row>
    <row r="151" spans="2:21" x14ac:dyDescent="0.25">
      <c r="B151" s="6" t="s">
        <v>30</v>
      </c>
      <c r="C151" s="8" t="s">
        <v>20</v>
      </c>
      <c r="D151" s="3">
        <v>16.5</v>
      </c>
      <c r="G151" s="116" t="s">
        <v>72</v>
      </c>
      <c r="H151" s="116"/>
      <c r="I151" t="s">
        <v>22</v>
      </c>
      <c r="J151" t="s">
        <v>23</v>
      </c>
      <c r="S151" s="38" t="str">
        <v/>
      </c>
      <c r="T151" s="38">
        <v>13.8</v>
      </c>
      <c r="U151" s="38">
        <v>17.2</v>
      </c>
    </row>
    <row r="152" spans="2:21" x14ac:dyDescent="0.25">
      <c r="B152" s="6" t="s">
        <v>35</v>
      </c>
      <c r="C152" s="8" t="s">
        <v>20</v>
      </c>
      <c r="D152" s="3">
        <v>13.5</v>
      </c>
      <c r="F152" s="117" t="s">
        <v>19</v>
      </c>
      <c r="G152" t="s">
        <v>29</v>
      </c>
      <c r="H152" t="s">
        <v>30</v>
      </c>
      <c r="I152" s="28">
        <v>16.883333333333336</v>
      </c>
      <c r="J152" s="26">
        <v>0.21714696202715181</v>
      </c>
      <c r="S152" s="38" t="str">
        <v/>
      </c>
      <c r="T152" s="38">
        <v>13.4</v>
      </c>
      <c r="U152" s="38">
        <v>14.9</v>
      </c>
    </row>
    <row r="153" spans="2:21" x14ac:dyDescent="0.25">
      <c r="B153" s="6" t="s">
        <v>30</v>
      </c>
      <c r="C153" s="8" t="s">
        <v>20</v>
      </c>
      <c r="D153" s="3">
        <v>13.2</v>
      </c>
      <c r="F153" s="117"/>
      <c r="H153" t="s">
        <v>35</v>
      </c>
      <c r="I153" s="28">
        <v>16.012499999999999</v>
      </c>
      <c r="J153" s="26"/>
      <c r="S153" s="38" t="str">
        <v/>
      </c>
      <c r="T153" s="38">
        <v>7</v>
      </c>
      <c r="U153" s="38">
        <v>13.3</v>
      </c>
    </row>
    <row r="154" spans="2:21" x14ac:dyDescent="0.25">
      <c r="B154" s="6" t="s">
        <v>30</v>
      </c>
      <c r="C154" s="8" t="s">
        <v>20</v>
      </c>
      <c r="D154" s="3">
        <v>16.899999999999999</v>
      </c>
      <c r="F154" s="117"/>
      <c r="G154" t="s">
        <v>36</v>
      </c>
      <c r="H154" t="s">
        <v>20</v>
      </c>
      <c r="I154" s="28">
        <v>14.93125</v>
      </c>
      <c r="J154" s="26">
        <v>3.5828343158220101E-4</v>
      </c>
      <c r="S154" s="38" t="str">
        <v/>
      </c>
      <c r="T154" s="38">
        <v>11.8</v>
      </c>
      <c r="U154" s="38">
        <v>14.1</v>
      </c>
    </row>
    <row r="155" spans="2:21" x14ac:dyDescent="0.25">
      <c r="B155" s="6" t="s">
        <v>30</v>
      </c>
      <c r="C155" s="8" t="s">
        <v>20</v>
      </c>
      <c r="D155" s="3">
        <v>16.2</v>
      </c>
      <c r="F155" s="117"/>
      <c r="H155" t="s">
        <v>28</v>
      </c>
      <c r="I155" s="28">
        <v>17.964583333333337</v>
      </c>
      <c r="J155" s="26"/>
      <c r="S155" s="39" t="str">
        <v/>
      </c>
      <c r="T155" s="39">
        <v>10.199999999999999</v>
      </c>
      <c r="U155" s="39">
        <v>13.9</v>
      </c>
    </row>
    <row r="156" spans="2:21" x14ac:dyDescent="0.25">
      <c r="B156" s="6" t="s">
        <v>35</v>
      </c>
      <c r="C156" s="8" t="s">
        <v>20</v>
      </c>
      <c r="D156" s="3">
        <v>15</v>
      </c>
      <c r="F156" s="118" t="s">
        <v>33</v>
      </c>
      <c r="G156" t="s">
        <v>29</v>
      </c>
      <c r="H156" t="s">
        <v>30</v>
      </c>
      <c r="I156" s="28">
        <v>11.902083333333334</v>
      </c>
      <c r="J156" s="26">
        <v>0.77159105096407321</v>
      </c>
      <c r="S156" s="37" t="str">
        <v>M</v>
      </c>
      <c r="T156" s="37">
        <v>8.9</v>
      </c>
      <c r="U156" s="37">
        <v>10</v>
      </c>
    </row>
    <row r="157" spans="2:21" x14ac:dyDescent="0.25">
      <c r="B157" s="6" t="s">
        <v>35</v>
      </c>
      <c r="C157" s="8" t="s">
        <v>20</v>
      </c>
      <c r="D157" s="3">
        <v>12.8</v>
      </c>
      <c r="F157" s="118"/>
      <c r="H157" t="s">
        <v>35</v>
      </c>
      <c r="I157" s="28">
        <v>11.666666666666666</v>
      </c>
      <c r="J157" s="26"/>
      <c r="S157" s="38" t="str">
        <v/>
      </c>
      <c r="T157" s="38">
        <v>10.199999999999999</v>
      </c>
      <c r="U157" s="38">
        <v>9.9</v>
      </c>
    </row>
    <row r="158" spans="2:21" x14ac:dyDescent="0.25">
      <c r="B158" s="6" t="s">
        <v>30</v>
      </c>
      <c r="C158" s="8" t="s">
        <v>20</v>
      </c>
      <c r="D158" s="3">
        <v>14.4</v>
      </c>
      <c r="F158" s="118"/>
      <c r="G158" t="s">
        <v>36</v>
      </c>
      <c r="H158" t="s">
        <v>20</v>
      </c>
      <c r="I158" s="28">
        <v>10.487500000000001</v>
      </c>
      <c r="J158" s="26">
        <v>7.0059873110578982E-3</v>
      </c>
      <c r="S158" s="38" t="str">
        <v/>
      </c>
      <c r="T158" s="38">
        <v>5.2</v>
      </c>
      <c r="U158" s="38">
        <v>12.3</v>
      </c>
    </row>
    <row r="159" spans="2:21" x14ac:dyDescent="0.25">
      <c r="B159" s="6" t="s">
        <v>30</v>
      </c>
      <c r="C159" s="8" t="s">
        <v>20</v>
      </c>
      <c r="D159" s="3">
        <v>13.5</v>
      </c>
      <c r="H159" t="s">
        <v>28</v>
      </c>
      <c r="I159" s="28">
        <v>13.081249999999999</v>
      </c>
      <c r="J159" s="26"/>
      <c r="S159" s="38" t="str">
        <v/>
      </c>
      <c r="T159" s="38">
        <v>5.8</v>
      </c>
      <c r="U159" s="38">
        <v>13.2</v>
      </c>
    </row>
    <row r="160" spans="2:21" x14ac:dyDescent="0.25">
      <c r="B160" s="6" t="s">
        <v>30</v>
      </c>
      <c r="C160" s="8" t="s">
        <v>20</v>
      </c>
      <c r="D160" s="3">
        <v>13.8</v>
      </c>
      <c r="J160" s="26"/>
      <c r="S160" s="38" t="str">
        <v/>
      </c>
      <c r="T160" s="38">
        <v>8.8000000000000007</v>
      </c>
      <c r="U160" s="38">
        <v>9.5</v>
      </c>
    </row>
    <row r="161" spans="2:21" x14ac:dyDescent="0.25">
      <c r="B161" s="6" t="s">
        <v>30</v>
      </c>
      <c r="C161" s="8" t="s">
        <v>20</v>
      </c>
      <c r="D161" s="3">
        <v>13.4</v>
      </c>
      <c r="S161" s="38" t="str">
        <v/>
      </c>
      <c r="T161" s="38">
        <v>8</v>
      </c>
      <c r="U161" s="38">
        <v>9.3000000000000007</v>
      </c>
    </row>
    <row r="162" spans="2:21" x14ac:dyDescent="0.25">
      <c r="B162" s="6" t="s">
        <v>30</v>
      </c>
      <c r="C162" s="8" t="s">
        <v>20</v>
      </c>
      <c r="D162" s="3">
        <v>7</v>
      </c>
      <c r="S162" s="38" t="str">
        <v/>
      </c>
      <c r="T162" s="38">
        <v>17</v>
      </c>
      <c r="U162" s="38">
        <v>19.3</v>
      </c>
    </row>
    <row r="163" spans="2:21" x14ac:dyDescent="0.25">
      <c r="B163" s="6" t="s">
        <v>30</v>
      </c>
      <c r="C163" s="8" t="s">
        <v>20</v>
      </c>
      <c r="D163" s="3">
        <v>11.8</v>
      </c>
      <c r="S163" s="38" t="str">
        <v/>
      </c>
      <c r="T163" s="38">
        <v>7.9</v>
      </c>
      <c r="U163" s="38">
        <v>13.2</v>
      </c>
    </row>
    <row r="164" spans="2:21" x14ac:dyDescent="0.25">
      <c r="B164" s="6" t="s">
        <v>30</v>
      </c>
      <c r="C164" s="8" t="s">
        <v>20</v>
      </c>
      <c r="D164" s="3">
        <v>10.199999999999999</v>
      </c>
      <c r="S164" s="38" t="str">
        <v/>
      </c>
      <c r="T164" s="38">
        <v>8.8000000000000007</v>
      </c>
      <c r="U164" s="38">
        <v>9.1999999999999993</v>
      </c>
    </row>
    <row r="165" spans="2:21" x14ac:dyDescent="0.25">
      <c r="B165" s="6" t="s">
        <v>30</v>
      </c>
      <c r="C165" s="15" t="s">
        <v>28</v>
      </c>
      <c r="D165" s="5">
        <v>11.3</v>
      </c>
      <c r="S165" s="38" t="str">
        <v/>
      </c>
      <c r="T165" s="38">
        <v>13.5</v>
      </c>
      <c r="U165" s="38">
        <v>16.7</v>
      </c>
    </row>
    <row r="166" spans="2:21" x14ac:dyDescent="0.25">
      <c r="B166" s="6" t="s">
        <v>30</v>
      </c>
      <c r="C166" s="15" t="s">
        <v>28</v>
      </c>
      <c r="D166" s="5">
        <v>9.6</v>
      </c>
      <c r="S166" s="38" t="str">
        <v/>
      </c>
      <c r="T166" s="38">
        <v>15</v>
      </c>
      <c r="U166" s="38">
        <v>17.8</v>
      </c>
    </row>
    <row r="167" spans="2:21" x14ac:dyDescent="0.25">
      <c r="B167" s="6" t="s">
        <v>30</v>
      </c>
      <c r="C167" s="15" t="s">
        <v>28</v>
      </c>
      <c r="D167" s="5">
        <v>10.1</v>
      </c>
      <c r="S167" s="38" t="str">
        <v/>
      </c>
      <c r="T167" s="38">
        <v>12.8</v>
      </c>
      <c r="U167" s="38">
        <v>17.7</v>
      </c>
    </row>
    <row r="168" spans="2:21" x14ac:dyDescent="0.25">
      <c r="B168" s="6" t="s">
        <v>35</v>
      </c>
      <c r="C168" s="15" t="s">
        <v>28</v>
      </c>
      <c r="D168" s="5">
        <v>10</v>
      </c>
      <c r="S168" s="38" t="str">
        <v/>
      </c>
      <c r="T168" s="38" t="str">
        <v/>
      </c>
      <c r="U168" s="38" t="str">
        <v/>
      </c>
    </row>
    <row r="169" spans="2:21" x14ac:dyDescent="0.25">
      <c r="B169" s="6" t="s">
        <v>30</v>
      </c>
      <c r="C169" s="15" t="s">
        <v>28</v>
      </c>
      <c r="D169" s="5">
        <v>10.4</v>
      </c>
      <c r="S169" s="38" t="str">
        <v/>
      </c>
      <c r="T169" s="38" t="str">
        <v/>
      </c>
      <c r="U169" s="38" t="str">
        <v/>
      </c>
    </row>
    <row r="170" spans="2:21" x14ac:dyDescent="0.25">
      <c r="B170" s="6" t="s">
        <v>30</v>
      </c>
      <c r="C170" s="15" t="s">
        <v>28</v>
      </c>
      <c r="D170" s="5">
        <v>10.3</v>
      </c>
      <c r="S170" s="38" t="str">
        <v/>
      </c>
      <c r="T170" s="38" t="str">
        <v/>
      </c>
      <c r="U170" s="38" t="str">
        <v/>
      </c>
    </row>
    <row r="171" spans="2:21" x14ac:dyDescent="0.25">
      <c r="B171" s="6" t="s">
        <v>30</v>
      </c>
      <c r="C171" s="15" t="s">
        <v>28</v>
      </c>
      <c r="D171" s="5">
        <v>10.1</v>
      </c>
      <c r="S171" s="38" t="str">
        <v/>
      </c>
      <c r="T171" s="38" t="str">
        <v/>
      </c>
      <c r="U171" s="38" t="str">
        <v/>
      </c>
    </row>
    <row r="172" spans="2:21" x14ac:dyDescent="0.25">
      <c r="B172" s="6" t="s">
        <v>35</v>
      </c>
      <c r="C172" s="15" t="s">
        <v>28</v>
      </c>
      <c r="D172" s="5">
        <v>9.9</v>
      </c>
      <c r="S172" s="38" t="str">
        <v/>
      </c>
      <c r="T172" s="38" t="str">
        <v/>
      </c>
      <c r="U172" s="38" t="str">
        <v/>
      </c>
    </row>
    <row r="173" spans="2:21" x14ac:dyDescent="0.25">
      <c r="B173" s="6" t="s">
        <v>30</v>
      </c>
      <c r="C173" s="15" t="s">
        <v>28</v>
      </c>
      <c r="D173" s="5">
        <v>9.4</v>
      </c>
      <c r="S173" s="38" t="str">
        <v/>
      </c>
      <c r="T173" s="38" t="str">
        <v/>
      </c>
      <c r="U173" s="38" t="str">
        <v/>
      </c>
    </row>
    <row r="174" spans="2:21" x14ac:dyDescent="0.25">
      <c r="B174" s="6" t="s">
        <v>30</v>
      </c>
      <c r="C174" s="15" t="s">
        <v>28</v>
      </c>
      <c r="D174" s="5">
        <v>15</v>
      </c>
      <c r="S174" s="38" t="str">
        <v/>
      </c>
      <c r="T174" s="38" t="str">
        <v/>
      </c>
      <c r="U174" s="38" t="str">
        <v/>
      </c>
    </row>
    <row r="175" spans="2:21" x14ac:dyDescent="0.25">
      <c r="B175" s="6" t="s">
        <v>30</v>
      </c>
      <c r="C175" s="15" t="s">
        <v>28</v>
      </c>
      <c r="D175" s="5">
        <v>11.1</v>
      </c>
      <c r="S175" s="38" t="str">
        <v/>
      </c>
      <c r="T175" s="38" t="str">
        <v/>
      </c>
      <c r="U175" s="38" t="str">
        <v/>
      </c>
    </row>
    <row r="176" spans="2:21" x14ac:dyDescent="0.25">
      <c r="B176" s="6" t="s">
        <v>35</v>
      </c>
      <c r="C176" s="15" t="s">
        <v>28</v>
      </c>
      <c r="D176" s="5">
        <v>12.3</v>
      </c>
      <c r="S176" s="38" t="str">
        <v/>
      </c>
      <c r="T176" s="38" t="str">
        <v/>
      </c>
      <c r="U176" s="38" t="str">
        <v/>
      </c>
    </row>
    <row r="177" spans="2:21" x14ac:dyDescent="0.25">
      <c r="B177" s="6" t="s">
        <v>30</v>
      </c>
      <c r="C177" s="15" t="s">
        <v>28</v>
      </c>
      <c r="D177" s="5">
        <v>9.9</v>
      </c>
      <c r="S177" s="38" t="str">
        <v/>
      </c>
      <c r="T177" s="38" t="str">
        <v/>
      </c>
      <c r="U177" s="38" t="str">
        <v/>
      </c>
    </row>
    <row r="178" spans="2:21" x14ac:dyDescent="0.25">
      <c r="B178" s="6" t="s">
        <v>30</v>
      </c>
      <c r="C178" s="15" t="s">
        <v>28</v>
      </c>
      <c r="D178" s="5">
        <v>9.1</v>
      </c>
      <c r="S178" s="38" t="str">
        <v/>
      </c>
      <c r="T178" s="38" t="str">
        <v/>
      </c>
      <c r="U178" s="38" t="str">
        <v/>
      </c>
    </row>
    <row r="179" spans="2:21" x14ac:dyDescent="0.25">
      <c r="B179" s="6" t="s">
        <v>35</v>
      </c>
      <c r="C179" s="15" t="s">
        <v>28</v>
      </c>
      <c r="D179" s="5">
        <v>13.2</v>
      </c>
      <c r="S179" s="39" t="str">
        <v/>
      </c>
      <c r="T179" s="39" t="str">
        <v/>
      </c>
      <c r="U179" s="39" t="str">
        <v/>
      </c>
    </row>
    <row r="180" spans="2:21" x14ac:dyDescent="0.25">
      <c r="B180" s="6" t="s">
        <v>35</v>
      </c>
      <c r="C180" s="15" t="s">
        <v>28</v>
      </c>
      <c r="D180" s="5">
        <v>9.5</v>
      </c>
    </row>
    <row r="181" spans="2:21" x14ac:dyDescent="0.25">
      <c r="B181" s="6" t="s">
        <v>30</v>
      </c>
      <c r="C181" s="15" t="s">
        <v>28</v>
      </c>
      <c r="D181" s="5">
        <v>13.8</v>
      </c>
    </row>
    <row r="182" spans="2:21" x14ac:dyDescent="0.25">
      <c r="B182" s="6" t="s">
        <v>30</v>
      </c>
      <c r="C182" s="15" t="s">
        <v>28</v>
      </c>
      <c r="D182" s="5">
        <v>11.3</v>
      </c>
    </row>
    <row r="183" spans="2:21" x14ac:dyDescent="0.25">
      <c r="B183" s="6" t="s">
        <v>35</v>
      </c>
      <c r="C183" s="15" t="s">
        <v>28</v>
      </c>
      <c r="D183" s="5">
        <v>9.3000000000000007</v>
      </c>
    </row>
    <row r="184" spans="2:21" x14ac:dyDescent="0.25">
      <c r="B184" s="6" t="s">
        <v>35</v>
      </c>
      <c r="C184" s="15" t="s">
        <v>28</v>
      </c>
      <c r="D184" s="5">
        <v>19.3</v>
      </c>
    </row>
    <row r="185" spans="2:21" x14ac:dyDescent="0.25">
      <c r="B185" s="6" t="s">
        <v>35</v>
      </c>
      <c r="C185" s="15" t="s">
        <v>28</v>
      </c>
      <c r="D185" s="5">
        <v>13.2</v>
      </c>
    </row>
    <row r="186" spans="2:21" x14ac:dyDescent="0.25">
      <c r="B186" s="6" t="s">
        <v>35</v>
      </c>
      <c r="C186" s="15" t="s">
        <v>28</v>
      </c>
      <c r="D186" s="5">
        <v>9.1999999999999993</v>
      </c>
    </row>
    <row r="187" spans="2:21" x14ac:dyDescent="0.25">
      <c r="B187" s="6" t="s">
        <v>30</v>
      </c>
      <c r="C187" s="15" t="s">
        <v>28</v>
      </c>
      <c r="D187" s="5">
        <v>17.399999999999999</v>
      </c>
    </row>
    <row r="188" spans="2:21" x14ac:dyDescent="0.25">
      <c r="B188" s="6" t="s">
        <v>35</v>
      </c>
      <c r="C188" s="15" t="s">
        <v>28</v>
      </c>
      <c r="D188" s="5">
        <v>16.7</v>
      </c>
    </row>
    <row r="189" spans="2:21" x14ac:dyDescent="0.25">
      <c r="B189" s="6" t="s">
        <v>30</v>
      </c>
      <c r="C189" s="15" t="s">
        <v>28</v>
      </c>
      <c r="D189" s="5">
        <v>14.8</v>
      </c>
    </row>
    <row r="190" spans="2:21" x14ac:dyDescent="0.25">
      <c r="B190" s="6" t="s">
        <v>30</v>
      </c>
      <c r="C190" s="15" t="s">
        <v>28</v>
      </c>
      <c r="D190" s="5">
        <v>17.2</v>
      </c>
    </row>
    <row r="191" spans="2:21" x14ac:dyDescent="0.25">
      <c r="B191" s="6" t="s">
        <v>30</v>
      </c>
      <c r="C191" s="15" t="s">
        <v>28</v>
      </c>
      <c r="D191" s="5">
        <v>17.399999999999999</v>
      </c>
    </row>
    <row r="192" spans="2:21" x14ac:dyDescent="0.25">
      <c r="B192" s="6" t="s">
        <v>35</v>
      </c>
      <c r="C192" s="15" t="s">
        <v>28</v>
      </c>
      <c r="D192" s="5">
        <v>17.8</v>
      </c>
    </row>
    <row r="193" spans="2:20" x14ac:dyDescent="0.25">
      <c r="B193" s="6" t="s">
        <v>35</v>
      </c>
      <c r="C193" s="15" t="s">
        <v>28</v>
      </c>
      <c r="D193" s="5">
        <v>17.7</v>
      </c>
    </row>
    <row r="194" spans="2:20" x14ac:dyDescent="0.25">
      <c r="B194" s="6" t="s">
        <v>30</v>
      </c>
      <c r="C194" s="15" t="s">
        <v>28</v>
      </c>
      <c r="D194" s="5">
        <v>15.5</v>
      </c>
    </row>
    <row r="195" spans="2:20" x14ac:dyDescent="0.25">
      <c r="B195" s="6" t="s">
        <v>30</v>
      </c>
      <c r="C195" s="15" t="s">
        <v>28</v>
      </c>
      <c r="D195" s="5">
        <v>14.6</v>
      </c>
    </row>
    <row r="196" spans="2:20" x14ac:dyDescent="0.25">
      <c r="B196" s="6" t="s">
        <v>30</v>
      </c>
      <c r="C196" s="15" t="s">
        <v>28</v>
      </c>
      <c r="D196" s="5">
        <v>17.2</v>
      </c>
    </row>
    <row r="197" spans="2:20" x14ac:dyDescent="0.25">
      <c r="B197" s="6" t="s">
        <v>30</v>
      </c>
      <c r="C197" s="15" t="s">
        <v>28</v>
      </c>
      <c r="D197" s="5">
        <v>14.9</v>
      </c>
    </row>
    <row r="198" spans="2:20" x14ac:dyDescent="0.25">
      <c r="B198" s="6" t="s">
        <v>30</v>
      </c>
      <c r="C198" s="15" t="s">
        <v>28</v>
      </c>
      <c r="D198" s="5">
        <v>13.3</v>
      </c>
    </row>
    <row r="199" spans="2:20" x14ac:dyDescent="0.25">
      <c r="B199" s="6" t="s">
        <v>30</v>
      </c>
      <c r="C199" s="15" t="s">
        <v>28</v>
      </c>
      <c r="D199" s="5">
        <v>14.1</v>
      </c>
    </row>
    <row r="200" spans="2:20" x14ac:dyDescent="0.25">
      <c r="B200" s="6" t="s">
        <v>30</v>
      </c>
      <c r="C200" s="15" t="s">
        <v>28</v>
      </c>
      <c r="D200" s="5">
        <v>13.9</v>
      </c>
    </row>
    <row r="203" spans="2:20" x14ac:dyDescent="0.25">
      <c r="B203" s="8" t="s">
        <v>20</v>
      </c>
      <c r="C203" s="15" t="s">
        <v>28</v>
      </c>
      <c r="D203" s="7" t="s">
        <v>13</v>
      </c>
      <c r="E203" s="9" t="s">
        <v>13</v>
      </c>
      <c r="H203" t="s">
        <v>97</v>
      </c>
      <c r="R203" t="s">
        <v>98</v>
      </c>
    </row>
    <row r="204" spans="2:20" x14ac:dyDescent="0.25">
      <c r="B204" s="3">
        <v>18</v>
      </c>
      <c r="C204" s="5">
        <v>1</v>
      </c>
      <c r="D204" s="3">
        <v>1</v>
      </c>
      <c r="E204" s="5">
        <v>0</v>
      </c>
    </row>
    <row r="205" spans="2:20" ht="15.75" thickBot="1" x14ac:dyDescent="0.3">
      <c r="B205" s="3">
        <v>16</v>
      </c>
      <c r="C205" s="5">
        <v>0</v>
      </c>
      <c r="D205" s="3">
        <v>1</v>
      </c>
      <c r="E205" s="5">
        <v>0</v>
      </c>
      <c r="H205" t="s">
        <v>99</v>
      </c>
      <c r="K205" t="s">
        <v>31</v>
      </c>
      <c r="L205">
        <v>0.05</v>
      </c>
      <c r="N205" t="s">
        <v>100</v>
      </c>
      <c r="O205">
        <v>0</v>
      </c>
      <c r="S205" t="str">
        <f>B203</f>
        <v>ANTES</v>
      </c>
      <c r="T205" t="str">
        <f>C203</f>
        <v>DESPUÉS</v>
      </c>
    </row>
    <row r="206" spans="2:20" ht="15.75" thickTop="1" x14ac:dyDescent="0.25">
      <c r="B206" s="3">
        <v>16</v>
      </c>
      <c r="C206" s="5">
        <v>0</v>
      </c>
      <c r="D206" s="3">
        <v>1</v>
      </c>
      <c r="E206" s="5">
        <v>0</v>
      </c>
      <c r="H206" s="36" t="s">
        <v>101</v>
      </c>
      <c r="I206" s="36" t="s">
        <v>61</v>
      </c>
      <c r="J206" s="36" t="s">
        <v>5</v>
      </c>
      <c r="K206" s="36" t="s">
        <v>102</v>
      </c>
      <c r="L206" s="36" t="s">
        <v>103</v>
      </c>
      <c r="M206" s="36" t="s">
        <v>104</v>
      </c>
      <c r="N206" s="36" t="s">
        <v>39</v>
      </c>
      <c r="O206" s="36" t="s">
        <v>95</v>
      </c>
      <c r="P206" s="36" t="s">
        <v>105</v>
      </c>
      <c r="R206" t="s">
        <v>106</v>
      </c>
      <c r="S206" s="42">
        <f>MEDIAN(B204:B239)</f>
        <v>17</v>
      </c>
      <c r="T206" s="43">
        <f>MEDIAN(C204:C239)</f>
        <v>1</v>
      </c>
    </row>
    <row r="207" spans="2:20" x14ac:dyDescent="0.25">
      <c r="B207" s="18">
        <v>21</v>
      </c>
      <c r="C207" s="5">
        <v>0</v>
      </c>
      <c r="D207" s="3">
        <v>1</v>
      </c>
      <c r="E207" s="5">
        <v>0</v>
      </c>
      <c r="H207" t="str">
        <f>B203</f>
        <v>ANTES</v>
      </c>
      <c r="I207">
        <f>COUNT(B204:B239)</f>
        <v>36</v>
      </c>
      <c r="J207">
        <f>AVERAGE(B204:B239)</f>
        <v>16.777777777777779</v>
      </c>
      <c r="K207">
        <f>_xlfn.STDEV.S(B204:B239)</f>
        <v>3.2435528237774904</v>
      </c>
    </row>
    <row r="208" spans="2:20" x14ac:dyDescent="0.25">
      <c r="B208" s="3">
        <v>19</v>
      </c>
      <c r="C208" s="5">
        <v>1</v>
      </c>
      <c r="D208" s="3">
        <v>1</v>
      </c>
      <c r="E208" s="5">
        <v>0</v>
      </c>
      <c r="H208" t="str">
        <f>C203</f>
        <v>DESPUÉS</v>
      </c>
      <c r="I208">
        <f>COUNT(C204:C239)</f>
        <v>36</v>
      </c>
      <c r="J208">
        <f>AVERAGE(C204:C239)</f>
        <v>1.9722222222222223</v>
      </c>
      <c r="K208">
        <f>_xlfn.STDEV.S(C204:C239)</f>
        <v>2.9128887096696015</v>
      </c>
      <c r="R208" t="s">
        <v>107</v>
      </c>
      <c r="S208" s="37">
        <f>SUMPRODUCT(--ISNUMBER(B204:B239),--ISNUMBER(C204:C239))</f>
        <v>36</v>
      </c>
    </row>
    <row r="209" spans="2:20" x14ac:dyDescent="0.25">
      <c r="B209" s="3">
        <v>16</v>
      </c>
      <c r="C209" s="5">
        <v>0</v>
      </c>
      <c r="D209" s="3">
        <v>1</v>
      </c>
      <c r="E209" s="5">
        <v>0</v>
      </c>
      <c r="H209" s="22" t="s">
        <v>108</v>
      </c>
      <c r="I209" s="22">
        <f>I208</f>
        <v>36</v>
      </c>
      <c r="J209" s="22">
        <f>J207-J208</f>
        <v>14.805555555555557</v>
      </c>
      <c r="K209" s="22">
        <f t="array" ref="K209">_xlfn.STDEV.S(B204:B239-C204:C239)</f>
        <v>2.8667497219419005</v>
      </c>
      <c r="L209" s="22">
        <f>K209/SQRT(I209)</f>
        <v>0.47779162032365008</v>
      </c>
      <c r="M209" s="22">
        <f>(J207-J208-O205)/L209</f>
        <v>30.987474300044145</v>
      </c>
      <c r="N209" s="22">
        <f>I209-1</f>
        <v>35</v>
      </c>
      <c r="O209" s="22">
        <f>ABS(J207-J208-O205)/K209</f>
        <v>5.1645790500073581</v>
      </c>
      <c r="P209" s="22">
        <f>SQRT(M209^2/(M209^2+N209))</f>
        <v>0.98225863314503792</v>
      </c>
      <c r="R209" t="s">
        <v>109</v>
      </c>
      <c r="S209" s="38">
        <f>SUMPRODUCT(--ISNUMBER(B204:B239),--ISNUMBER(C204:C239),--(B204:B239&lt;&gt;C204:C239))</f>
        <v>36</v>
      </c>
    </row>
    <row r="210" spans="2:20" x14ac:dyDescent="0.25">
      <c r="B210" s="3">
        <v>16</v>
      </c>
      <c r="C210" s="5">
        <v>0</v>
      </c>
      <c r="D210" s="3">
        <v>1</v>
      </c>
      <c r="E210" s="5">
        <v>0</v>
      </c>
      <c r="R210" t="s">
        <v>110</v>
      </c>
      <c r="S210" s="38">
        <f>IF(S212&lt;=S215,S212,S209*(S209+1)/2)</f>
        <v>0</v>
      </c>
    </row>
    <row r="211" spans="2:20" ht="15.75" thickBot="1" x14ac:dyDescent="0.3">
      <c r="B211" s="3">
        <v>18</v>
      </c>
      <c r="C211" s="5">
        <v>2</v>
      </c>
      <c r="D211" s="3">
        <v>1</v>
      </c>
      <c r="E211" s="5">
        <v>0</v>
      </c>
      <c r="H211" t="s">
        <v>111</v>
      </c>
      <c r="R211" t="s">
        <v>112</v>
      </c>
      <c r="S211" s="38">
        <f>S209*(S209+1)/2-S210</f>
        <v>666</v>
      </c>
    </row>
    <row r="212" spans="2:20" ht="15.75" thickTop="1" x14ac:dyDescent="0.25">
      <c r="B212" s="3">
        <v>13</v>
      </c>
      <c r="C212" s="5">
        <v>1</v>
      </c>
      <c r="D212" s="3">
        <v>1</v>
      </c>
      <c r="E212" s="5">
        <v>0</v>
      </c>
      <c r="H212" s="36" t="s">
        <v>113</v>
      </c>
      <c r="I212" s="36" t="s">
        <v>23</v>
      </c>
      <c r="J212" s="36" t="s">
        <v>114</v>
      </c>
      <c r="K212" s="36" t="s">
        <v>93</v>
      </c>
      <c r="L212" s="36" t="s">
        <v>94</v>
      </c>
      <c r="M212" s="36" t="s">
        <v>41</v>
      </c>
      <c r="R212" t="s">
        <v>115</v>
      </c>
      <c r="S212" s="39">
        <f>[1]!SRANK(B204:B239,C204:C239)</f>
        <v>0</v>
      </c>
    </row>
    <row r="213" spans="2:20" x14ac:dyDescent="0.25">
      <c r="B213" s="3">
        <v>19</v>
      </c>
      <c r="C213" s="5">
        <v>0</v>
      </c>
      <c r="D213" s="3">
        <v>1</v>
      </c>
      <c r="E213" s="5">
        <v>0</v>
      </c>
      <c r="H213" t="s">
        <v>116</v>
      </c>
      <c r="I213">
        <f>_xlfn.T.DIST.RT(ABS(M209),N209)</f>
        <v>2.4586746002435179E-27</v>
      </c>
      <c r="J213">
        <f>_xlfn.T.INV.2T(L205*2,N209)</f>
        <v>1.6895724577802647</v>
      </c>
      <c r="M213" s="35" t="str">
        <f>IF(I213&lt;L205,"yes","no")</f>
        <v>yes</v>
      </c>
    </row>
    <row r="214" spans="2:20" x14ac:dyDescent="0.25">
      <c r="B214" s="3">
        <v>14</v>
      </c>
      <c r="C214" s="5">
        <v>0</v>
      </c>
      <c r="D214" s="3">
        <v>1</v>
      </c>
      <c r="E214" s="5">
        <v>0</v>
      </c>
      <c r="H214" t="s">
        <v>117</v>
      </c>
      <c r="I214">
        <f>_xlfn.T.DIST.2T(ABS(M209),N209)</f>
        <v>4.9173492004870359E-27</v>
      </c>
      <c r="J214">
        <f>_xlfn.T.INV.2T(L205,N209)</f>
        <v>2.0301079282503438</v>
      </c>
      <c r="K214">
        <f>(J207-J208)-L209*J214</f>
        <v>13.835586999084937</v>
      </c>
      <c r="L214">
        <f>(J207-J208)+L209*J214</f>
        <v>15.775524112026178</v>
      </c>
      <c r="M214" s="35" t="str">
        <f>IF(I214&lt;L205,"yes","no")</f>
        <v>yes</v>
      </c>
      <c r="S214" s="35" t="s">
        <v>118</v>
      </c>
      <c r="T214" s="35" t="s">
        <v>119</v>
      </c>
    </row>
    <row r="215" spans="2:20" x14ac:dyDescent="0.25">
      <c r="B215" s="3">
        <v>13</v>
      </c>
      <c r="C215" s="5">
        <v>0</v>
      </c>
      <c r="D215" s="3">
        <v>1</v>
      </c>
      <c r="E215" s="5">
        <v>0</v>
      </c>
      <c r="H215" s="22"/>
      <c r="I215" s="22"/>
      <c r="J215" s="22"/>
      <c r="K215" s="22"/>
      <c r="L215" s="22"/>
      <c r="M215" s="22"/>
      <c r="R215" t="s">
        <v>84</v>
      </c>
      <c r="S215" s="37">
        <f>S209*(S209+1)/4</f>
        <v>333</v>
      </c>
    </row>
    <row r="216" spans="2:20" x14ac:dyDescent="0.25">
      <c r="B216" s="3">
        <v>12</v>
      </c>
      <c r="C216" s="5">
        <v>0</v>
      </c>
      <c r="D216" s="3">
        <v>1</v>
      </c>
      <c r="E216" s="5">
        <v>0</v>
      </c>
      <c r="R216" t="s">
        <v>120</v>
      </c>
      <c r="S216" s="38">
        <f>SQRT(S215*(2*S209+1)/6-[1]!TiesCorrection(B204:B239,C204:C239,1)/48)</f>
        <v>63.5</v>
      </c>
      <c r="T216" t="s">
        <v>121</v>
      </c>
    </row>
    <row r="217" spans="2:20" x14ac:dyDescent="0.25">
      <c r="B217" s="3">
        <v>12</v>
      </c>
      <c r="C217" s="5">
        <v>0</v>
      </c>
      <c r="D217" s="3">
        <v>1</v>
      </c>
      <c r="E217" s="5">
        <v>0</v>
      </c>
      <c r="R217" t="s">
        <v>122</v>
      </c>
      <c r="S217" s="38">
        <f>ABS(ABS(S212-S215)-1/2)/S216</f>
        <v>5.2362204724409445</v>
      </c>
      <c r="T217" t="s">
        <v>123</v>
      </c>
    </row>
    <row r="218" spans="2:20" x14ac:dyDescent="0.25">
      <c r="B218" s="3">
        <v>21</v>
      </c>
      <c r="C218" s="14">
        <v>1</v>
      </c>
      <c r="D218" s="3">
        <v>1</v>
      </c>
      <c r="E218" s="5">
        <v>0</v>
      </c>
      <c r="R218" t="s">
        <v>124</v>
      </c>
      <c r="S218" s="38">
        <f>S217/SQRT(S209)</f>
        <v>0.87270341207349078</v>
      </c>
    </row>
    <row r="219" spans="2:20" x14ac:dyDescent="0.25">
      <c r="B219" s="3">
        <v>21</v>
      </c>
      <c r="C219" s="14">
        <v>5</v>
      </c>
      <c r="D219" s="3">
        <v>1</v>
      </c>
      <c r="E219" s="5">
        <v>0</v>
      </c>
      <c r="R219" t="s">
        <v>125</v>
      </c>
      <c r="S219" s="37">
        <f>1-_xlfn.NORM.S.DIST(S217,TRUE)</f>
        <v>8.1949078634124817E-8</v>
      </c>
      <c r="T219" s="32">
        <f>2*S219</f>
        <v>1.6389815726824963E-7</v>
      </c>
    </row>
    <row r="220" spans="2:20" x14ac:dyDescent="0.25">
      <c r="B220" s="3">
        <v>13</v>
      </c>
      <c r="C220" s="14">
        <v>0</v>
      </c>
      <c r="D220" s="3">
        <v>1</v>
      </c>
      <c r="E220" s="5">
        <v>0</v>
      </c>
      <c r="R220" t="s">
        <v>126</v>
      </c>
      <c r="S220" s="38">
        <f>[1]!SRDIST(S212,S209,1)</f>
        <v>1.4551915228366852E-11</v>
      </c>
      <c r="T220" s="44">
        <f>2*S220</f>
        <v>2.9103830456733704E-11</v>
      </c>
    </row>
    <row r="221" spans="2:20" x14ac:dyDescent="0.25">
      <c r="B221" s="3">
        <v>12</v>
      </c>
      <c r="C221" s="14">
        <v>0</v>
      </c>
      <c r="D221" s="3">
        <v>1</v>
      </c>
      <c r="E221" s="5">
        <v>0</v>
      </c>
      <c r="R221" t="s">
        <v>127</v>
      </c>
      <c r="S221" s="39" t="s">
        <v>40</v>
      </c>
      <c r="T221" s="34" t="s">
        <v>40</v>
      </c>
    </row>
    <row r="222" spans="2:20" x14ac:dyDescent="0.25">
      <c r="B222" s="18">
        <v>21</v>
      </c>
      <c r="C222" s="14">
        <v>4</v>
      </c>
      <c r="D222" s="3">
        <v>1</v>
      </c>
      <c r="E222" s="5">
        <v>0</v>
      </c>
    </row>
    <row r="223" spans="2:20" x14ac:dyDescent="0.25">
      <c r="B223" s="18">
        <v>19</v>
      </c>
      <c r="C223" s="14">
        <v>1</v>
      </c>
      <c r="D223" s="3">
        <v>1</v>
      </c>
      <c r="E223" s="5">
        <v>0</v>
      </c>
    </row>
    <row r="224" spans="2:20" x14ac:dyDescent="0.25">
      <c r="B224" s="18">
        <v>20</v>
      </c>
      <c r="C224" s="14">
        <v>9</v>
      </c>
      <c r="D224" s="3">
        <v>1</v>
      </c>
      <c r="E224" s="5">
        <v>1</v>
      </c>
    </row>
    <row r="225" spans="2:5" x14ac:dyDescent="0.25">
      <c r="B225" s="18">
        <v>20</v>
      </c>
      <c r="C225" s="14">
        <v>8</v>
      </c>
      <c r="D225" s="3">
        <v>1</v>
      </c>
      <c r="E225" s="5">
        <v>1</v>
      </c>
    </row>
    <row r="226" spans="2:5" x14ac:dyDescent="0.25">
      <c r="B226" s="18">
        <v>13</v>
      </c>
      <c r="C226" s="14">
        <v>1</v>
      </c>
      <c r="D226" s="3">
        <v>1</v>
      </c>
      <c r="E226" s="5">
        <v>0</v>
      </c>
    </row>
    <row r="227" spans="2:5" x14ac:dyDescent="0.25">
      <c r="B227" s="18">
        <v>12</v>
      </c>
      <c r="C227" s="14">
        <v>1</v>
      </c>
      <c r="D227" s="3">
        <v>1</v>
      </c>
      <c r="E227" s="5">
        <v>0</v>
      </c>
    </row>
    <row r="228" spans="2:5" x14ac:dyDescent="0.25">
      <c r="B228" s="18">
        <v>20</v>
      </c>
      <c r="C228" s="14">
        <v>6</v>
      </c>
      <c r="D228" s="3">
        <v>1</v>
      </c>
      <c r="E228" s="5">
        <v>0</v>
      </c>
    </row>
    <row r="229" spans="2:5" x14ac:dyDescent="0.25">
      <c r="B229" s="18">
        <v>16</v>
      </c>
      <c r="C229" s="14">
        <v>3</v>
      </c>
      <c r="D229" s="3">
        <v>1</v>
      </c>
      <c r="E229" s="5">
        <v>0</v>
      </c>
    </row>
    <row r="230" spans="2:5" x14ac:dyDescent="0.25">
      <c r="B230" s="18">
        <v>14</v>
      </c>
      <c r="C230" s="14">
        <v>1</v>
      </c>
      <c r="D230" s="3">
        <v>1</v>
      </c>
      <c r="E230" s="5">
        <v>0</v>
      </c>
    </row>
    <row r="231" spans="2:5" x14ac:dyDescent="0.25">
      <c r="B231" s="18">
        <v>15</v>
      </c>
      <c r="C231" s="14">
        <v>2</v>
      </c>
      <c r="D231" s="3">
        <v>1</v>
      </c>
      <c r="E231" s="5">
        <v>0</v>
      </c>
    </row>
    <row r="232" spans="2:5" x14ac:dyDescent="0.25">
      <c r="B232" s="18">
        <v>18</v>
      </c>
      <c r="C232" s="14">
        <v>1</v>
      </c>
      <c r="D232" s="3">
        <v>1</v>
      </c>
      <c r="E232" s="5">
        <v>0</v>
      </c>
    </row>
    <row r="233" spans="2:5" x14ac:dyDescent="0.25">
      <c r="B233" s="18">
        <v>20</v>
      </c>
      <c r="C233" s="14">
        <v>8</v>
      </c>
      <c r="D233" s="3">
        <v>1</v>
      </c>
      <c r="E233" s="5">
        <v>1</v>
      </c>
    </row>
    <row r="234" spans="2:5" x14ac:dyDescent="0.25">
      <c r="B234" s="18">
        <v>12</v>
      </c>
      <c r="C234" s="14">
        <v>0</v>
      </c>
      <c r="D234" s="3">
        <v>1</v>
      </c>
      <c r="E234" s="5">
        <v>0</v>
      </c>
    </row>
    <row r="235" spans="2:5" x14ac:dyDescent="0.25">
      <c r="B235" s="18">
        <v>15</v>
      </c>
      <c r="C235" s="14">
        <v>0</v>
      </c>
      <c r="D235" s="3">
        <v>1</v>
      </c>
      <c r="E235" s="5">
        <v>0</v>
      </c>
    </row>
    <row r="236" spans="2:5" x14ac:dyDescent="0.25">
      <c r="B236" s="18">
        <v>18</v>
      </c>
      <c r="C236" s="14">
        <v>0</v>
      </c>
      <c r="D236" s="3">
        <v>1</v>
      </c>
      <c r="E236" s="5">
        <v>0</v>
      </c>
    </row>
    <row r="237" spans="2:5" x14ac:dyDescent="0.25">
      <c r="B237" s="18">
        <v>21</v>
      </c>
      <c r="C237" s="14">
        <v>10</v>
      </c>
      <c r="D237" s="3">
        <v>1</v>
      </c>
      <c r="E237" s="5">
        <v>1</v>
      </c>
    </row>
    <row r="238" spans="2:5" x14ac:dyDescent="0.25">
      <c r="B238" s="18">
        <v>20</v>
      </c>
      <c r="C238" s="14">
        <v>5</v>
      </c>
      <c r="D238" s="3">
        <v>1</v>
      </c>
      <c r="E238" s="5">
        <v>0</v>
      </c>
    </row>
    <row r="239" spans="2:5" x14ac:dyDescent="0.25">
      <c r="B239" s="18">
        <v>20</v>
      </c>
      <c r="C239" s="14">
        <v>0</v>
      </c>
      <c r="D239" s="3">
        <v>1</v>
      </c>
      <c r="E239" s="5">
        <v>0</v>
      </c>
    </row>
    <row r="244" spans="4:10" x14ac:dyDescent="0.25">
      <c r="D244" s="7" t="s">
        <v>20</v>
      </c>
      <c r="E244" s="9" t="s">
        <v>128</v>
      </c>
    </row>
    <row r="245" spans="4:10" x14ac:dyDescent="0.25">
      <c r="D245" s="3">
        <v>1</v>
      </c>
      <c r="E245" s="5">
        <v>0</v>
      </c>
      <c r="G245" s="45" t="s">
        <v>129</v>
      </c>
      <c r="H245" s="45" t="s">
        <v>130</v>
      </c>
    </row>
    <row r="246" spans="4:10" x14ac:dyDescent="0.25">
      <c r="D246" s="3">
        <v>1</v>
      </c>
      <c r="E246" s="5">
        <v>0</v>
      </c>
      <c r="G246" s="45" t="s">
        <v>131</v>
      </c>
      <c r="H246">
        <v>0</v>
      </c>
      <c r="I246">
        <v>1</v>
      </c>
      <c r="J246" t="s">
        <v>132</v>
      </c>
    </row>
    <row r="247" spans="4:10" x14ac:dyDescent="0.25">
      <c r="D247" s="3">
        <v>1</v>
      </c>
      <c r="E247" s="5">
        <v>0</v>
      </c>
      <c r="G247" s="46">
        <v>1</v>
      </c>
      <c r="H247">
        <v>32</v>
      </c>
      <c r="I247">
        <v>4</v>
      </c>
      <c r="J247">
        <v>36</v>
      </c>
    </row>
    <row r="248" spans="4:10" x14ac:dyDescent="0.25">
      <c r="D248" s="3">
        <v>1</v>
      </c>
      <c r="E248" s="5">
        <v>0</v>
      </c>
      <c r="G248" s="46" t="s">
        <v>132</v>
      </c>
      <c r="H248">
        <v>32</v>
      </c>
      <c r="I248">
        <v>4</v>
      </c>
      <c r="J248">
        <v>36</v>
      </c>
    </row>
    <row r="249" spans="4:10" x14ac:dyDescent="0.25">
      <c r="D249" s="3">
        <v>1</v>
      </c>
      <c r="E249" s="5">
        <v>0</v>
      </c>
    </row>
    <row r="250" spans="4:10" x14ac:dyDescent="0.25">
      <c r="D250" s="3">
        <v>1</v>
      </c>
      <c r="E250" s="5">
        <v>0</v>
      </c>
    </row>
    <row r="251" spans="4:10" x14ac:dyDescent="0.25">
      <c r="D251" s="3">
        <v>1</v>
      </c>
      <c r="E251" s="5">
        <v>0</v>
      </c>
      <c r="G251" t="s">
        <v>129</v>
      </c>
      <c r="H251" t="s">
        <v>130</v>
      </c>
    </row>
    <row r="252" spans="4:10" x14ac:dyDescent="0.25">
      <c r="D252" s="3">
        <v>1</v>
      </c>
      <c r="E252" s="5">
        <v>0</v>
      </c>
      <c r="G252" t="s">
        <v>131</v>
      </c>
      <c r="H252">
        <v>0</v>
      </c>
      <c r="I252">
        <v>1</v>
      </c>
      <c r="J252" t="s">
        <v>132</v>
      </c>
    </row>
    <row r="253" spans="4:10" x14ac:dyDescent="0.25">
      <c r="D253" s="3">
        <v>1</v>
      </c>
      <c r="E253" s="5">
        <v>0</v>
      </c>
      <c r="G253">
        <v>1</v>
      </c>
      <c r="H253">
        <v>32</v>
      </c>
      <c r="I253">
        <v>4</v>
      </c>
      <c r="J253">
        <v>36</v>
      </c>
    </row>
    <row r="254" spans="4:10" x14ac:dyDescent="0.25">
      <c r="D254" s="3">
        <v>1</v>
      </c>
      <c r="E254" s="5">
        <v>0</v>
      </c>
      <c r="G254" t="s">
        <v>132</v>
      </c>
      <c r="H254">
        <v>32</v>
      </c>
      <c r="I254">
        <v>4</v>
      </c>
      <c r="J254">
        <v>36</v>
      </c>
    </row>
    <row r="255" spans="4:10" x14ac:dyDescent="0.25">
      <c r="D255" s="3">
        <v>1</v>
      </c>
      <c r="E255" s="5">
        <v>0</v>
      </c>
    </row>
    <row r="256" spans="4:10" x14ac:dyDescent="0.25">
      <c r="D256" s="3">
        <v>1</v>
      </c>
      <c r="E256" s="5">
        <v>0</v>
      </c>
    </row>
    <row r="257" spans="4:23" x14ac:dyDescent="0.25">
      <c r="D257" s="3">
        <v>1</v>
      </c>
      <c r="E257" s="5">
        <v>0</v>
      </c>
      <c r="G257" s="7" t="s">
        <v>13</v>
      </c>
      <c r="H257" s="9" t="s">
        <v>13</v>
      </c>
      <c r="I257" t="s">
        <v>15</v>
      </c>
      <c r="L257" t="s">
        <v>16</v>
      </c>
      <c r="Q257" t="s">
        <v>20</v>
      </c>
      <c r="R257" t="s">
        <v>24</v>
      </c>
      <c r="S257" t="s">
        <v>133</v>
      </c>
      <c r="V257" t="s">
        <v>16</v>
      </c>
    </row>
    <row r="258" spans="4:23" x14ac:dyDescent="0.25">
      <c r="D258" s="3">
        <v>1</v>
      </c>
      <c r="E258" s="5">
        <v>0</v>
      </c>
      <c r="G258">
        <v>1</v>
      </c>
      <c r="H258">
        <v>0</v>
      </c>
      <c r="I258">
        <v>22</v>
      </c>
      <c r="Q258">
        <v>1</v>
      </c>
      <c r="R258">
        <v>0</v>
      </c>
      <c r="S258">
        <v>32</v>
      </c>
    </row>
    <row r="259" spans="4:23" x14ac:dyDescent="0.25">
      <c r="D259" s="3">
        <v>1</v>
      </c>
      <c r="E259" s="5">
        <v>0</v>
      </c>
      <c r="G259">
        <v>1</v>
      </c>
      <c r="H259">
        <v>1</v>
      </c>
      <c r="I259">
        <v>2</v>
      </c>
      <c r="L259" t="s">
        <v>31</v>
      </c>
      <c r="M259" s="47">
        <v>0.05</v>
      </c>
      <c r="Q259">
        <v>1</v>
      </c>
      <c r="R259">
        <v>1</v>
      </c>
      <c r="S259">
        <v>4</v>
      </c>
      <c r="V259" t="s">
        <v>31</v>
      </c>
      <c r="W259" s="47">
        <v>0.05</v>
      </c>
    </row>
    <row r="260" spans="4:23" x14ac:dyDescent="0.25">
      <c r="D260" s="3">
        <v>1</v>
      </c>
      <c r="E260" s="5">
        <v>0</v>
      </c>
      <c r="G260">
        <v>0</v>
      </c>
      <c r="H260">
        <v>0</v>
      </c>
      <c r="I260">
        <v>0</v>
      </c>
      <c r="Q260">
        <v>0</v>
      </c>
      <c r="R260">
        <v>0</v>
      </c>
      <c r="S260">
        <v>0</v>
      </c>
    </row>
    <row r="261" spans="4:23" x14ac:dyDescent="0.25">
      <c r="D261" s="3">
        <v>1</v>
      </c>
      <c r="E261" s="5">
        <v>0</v>
      </c>
      <c r="L261" t="s">
        <v>37</v>
      </c>
      <c r="M261" s="37">
        <f>[1]!COCHRAN(G258:I260)</f>
        <v>20.045454545454547</v>
      </c>
      <c r="V261" t="s">
        <v>37</v>
      </c>
      <c r="W261" s="37">
        <f>[1]!COCHRAN(Q258:S260)</f>
        <v>30.03125</v>
      </c>
    </row>
    <row r="262" spans="4:23" x14ac:dyDescent="0.25">
      <c r="D262" s="3">
        <v>1</v>
      </c>
      <c r="E262" s="5">
        <v>0</v>
      </c>
      <c r="L262" t="s">
        <v>39</v>
      </c>
      <c r="M262" s="38">
        <f>COUNT(G258:I258)-2</f>
        <v>1</v>
      </c>
      <c r="V262" t="s">
        <v>39</v>
      </c>
      <c r="W262" s="38">
        <f>COUNT(Q258:S258)-2</f>
        <v>1</v>
      </c>
    </row>
    <row r="263" spans="4:23" x14ac:dyDescent="0.25">
      <c r="D263" s="3">
        <v>1</v>
      </c>
      <c r="E263" s="5">
        <v>0</v>
      </c>
      <c r="L263" t="s">
        <v>23</v>
      </c>
      <c r="M263" s="38">
        <f>_xlfn.CHISQ.DIST.RT(M261,M262)</f>
        <v>7.5623066145047038E-6</v>
      </c>
      <c r="V263" t="s">
        <v>23</v>
      </c>
      <c r="W263" s="38">
        <f>_xlfn.CHISQ.DIST.RT(W261,W262)</f>
        <v>4.2513944082491131E-8</v>
      </c>
    </row>
    <row r="264" spans="4:23" x14ac:dyDescent="0.25">
      <c r="D264" s="3">
        <v>1</v>
      </c>
      <c r="E264" s="5">
        <v>0</v>
      </c>
      <c r="L264" t="s">
        <v>41</v>
      </c>
      <c r="M264" s="48" t="str">
        <f>IF(M263&lt;M259,"yes","no")</f>
        <v>yes</v>
      </c>
      <c r="V264" t="s">
        <v>41</v>
      </c>
      <c r="W264" s="48" t="str">
        <f>IF(W263&lt;W259,"yes","no")</f>
        <v>yes</v>
      </c>
    </row>
    <row r="265" spans="4:23" x14ac:dyDescent="0.25">
      <c r="D265" s="3">
        <v>1</v>
      </c>
      <c r="E265" s="5">
        <v>1</v>
      </c>
    </row>
    <row r="266" spans="4:23" x14ac:dyDescent="0.25">
      <c r="D266" s="3">
        <v>1</v>
      </c>
      <c r="E266" s="5">
        <v>1</v>
      </c>
      <c r="L266" t="s">
        <v>42</v>
      </c>
      <c r="V266" t="s">
        <v>42</v>
      </c>
    </row>
    <row r="267" spans="4:23" x14ac:dyDescent="0.25">
      <c r="D267" s="3">
        <v>1</v>
      </c>
      <c r="E267" s="5">
        <v>0</v>
      </c>
    </row>
    <row r="268" spans="4:23" x14ac:dyDescent="0.25">
      <c r="D268" s="3">
        <v>1</v>
      </c>
      <c r="E268" s="5">
        <v>0</v>
      </c>
      <c r="L268" t="str">
        <f>G257</f>
        <v>PUNTAJE</v>
      </c>
      <c r="M268" t="str">
        <f>H257</f>
        <v>PUNTAJE</v>
      </c>
      <c r="V268" t="str">
        <f>Q257</f>
        <v>ANTES</v>
      </c>
      <c r="W268" t="str">
        <f>R257</f>
        <v>DEPUÉS</v>
      </c>
    </row>
    <row r="269" spans="4:23" x14ac:dyDescent="0.25">
      <c r="D269" s="3">
        <v>1</v>
      </c>
      <c r="E269" s="5">
        <v>0</v>
      </c>
      <c r="L269" s="42">
        <f t="array" ref="L269:M269">[1]!QRATIO(G258:I260)</f>
        <v>1</v>
      </c>
      <c r="M269" s="43">
        <v>8.3333333333333329E-2</v>
      </c>
      <c r="V269" s="42">
        <f t="array" ref="V269:W269">[1]!QRATIO(Q258:S260)</f>
        <v>1</v>
      </c>
      <c r="W269" s="43">
        <v>0.1111111111111111</v>
      </c>
    </row>
    <row r="270" spans="4:23" x14ac:dyDescent="0.25">
      <c r="D270" s="3">
        <v>1</v>
      </c>
      <c r="E270" s="5">
        <v>0</v>
      </c>
    </row>
    <row r="271" spans="4:23" x14ac:dyDescent="0.25">
      <c r="D271" s="3">
        <v>1</v>
      </c>
      <c r="E271" s="5">
        <v>0</v>
      </c>
    </row>
    <row r="272" spans="4:23" x14ac:dyDescent="0.25">
      <c r="D272" s="3">
        <v>1</v>
      </c>
      <c r="E272" s="5">
        <v>0</v>
      </c>
    </row>
    <row r="273" spans="3:5" x14ac:dyDescent="0.25">
      <c r="D273" s="3">
        <v>1</v>
      </c>
      <c r="E273" s="5">
        <v>0</v>
      </c>
    </row>
    <row r="274" spans="3:5" x14ac:dyDescent="0.25">
      <c r="D274" s="3">
        <v>1</v>
      </c>
      <c r="E274" s="5">
        <v>1</v>
      </c>
    </row>
    <row r="275" spans="3:5" x14ac:dyDescent="0.25">
      <c r="D275" s="3">
        <v>1</v>
      </c>
      <c r="E275" s="5">
        <v>0</v>
      </c>
    </row>
    <row r="276" spans="3:5" x14ac:dyDescent="0.25">
      <c r="D276" s="3">
        <v>1</v>
      </c>
      <c r="E276" s="5">
        <v>0</v>
      </c>
    </row>
    <row r="277" spans="3:5" x14ac:dyDescent="0.25">
      <c r="D277" s="3">
        <v>1</v>
      </c>
      <c r="E277" s="5">
        <v>0</v>
      </c>
    </row>
    <row r="278" spans="3:5" x14ac:dyDescent="0.25">
      <c r="D278" s="3">
        <v>1</v>
      </c>
      <c r="E278" s="5">
        <v>1</v>
      </c>
    </row>
    <row r="279" spans="3:5" x14ac:dyDescent="0.25">
      <c r="D279" s="3">
        <v>1</v>
      </c>
      <c r="E279" s="5">
        <v>0</v>
      </c>
    </row>
    <row r="280" spans="3:5" x14ac:dyDescent="0.25">
      <c r="D280" s="3">
        <v>1</v>
      </c>
      <c r="E280" s="5">
        <v>0</v>
      </c>
    </row>
    <row r="286" spans="3:5" x14ac:dyDescent="0.25">
      <c r="C286" s="16" t="s">
        <v>46</v>
      </c>
      <c r="D286" s="8" t="s">
        <v>20</v>
      </c>
      <c r="E286" s="7" t="s">
        <v>13</v>
      </c>
    </row>
    <row r="287" spans="3:5" x14ac:dyDescent="0.25">
      <c r="C287" s="6" t="s">
        <v>30</v>
      </c>
      <c r="D287" s="3">
        <v>18</v>
      </c>
      <c r="E287" s="3">
        <v>1</v>
      </c>
    </row>
    <row r="288" spans="3:5" x14ac:dyDescent="0.25">
      <c r="C288" s="6" t="s">
        <v>30</v>
      </c>
      <c r="D288" s="3">
        <v>16</v>
      </c>
      <c r="E288" s="3">
        <v>1</v>
      </c>
    </row>
    <row r="289" spans="3:5" x14ac:dyDescent="0.25">
      <c r="C289" s="6" t="s">
        <v>30</v>
      </c>
      <c r="D289" s="3">
        <v>16</v>
      </c>
      <c r="E289" s="3">
        <v>1</v>
      </c>
    </row>
    <row r="290" spans="3:5" x14ac:dyDescent="0.25">
      <c r="C290" s="6" t="s">
        <v>35</v>
      </c>
      <c r="D290" s="18">
        <v>21</v>
      </c>
      <c r="E290" s="3">
        <v>1</v>
      </c>
    </row>
    <row r="291" spans="3:5" x14ac:dyDescent="0.25">
      <c r="C291" s="6" t="s">
        <v>30</v>
      </c>
      <c r="D291" s="3">
        <v>19</v>
      </c>
      <c r="E291" s="3">
        <v>1</v>
      </c>
    </row>
    <row r="292" spans="3:5" x14ac:dyDescent="0.25">
      <c r="C292" s="6" t="s">
        <v>30</v>
      </c>
      <c r="D292" s="3">
        <v>16</v>
      </c>
      <c r="E292" s="3">
        <v>1</v>
      </c>
    </row>
    <row r="293" spans="3:5" x14ac:dyDescent="0.25">
      <c r="C293" s="6" t="s">
        <v>30</v>
      </c>
      <c r="D293" s="3">
        <v>16</v>
      </c>
      <c r="E293" s="3">
        <v>1</v>
      </c>
    </row>
    <row r="294" spans="3:5" x14ac:dyDescent="0.25">
      <c r="C294" s="6" t="s">
        <v>35</v>
      </c>
      <c r="D294" s="3">
        <v>18</v>
      </c>
      <c r="E294" s="3">
        <v>1</v>
      </c>
    </row>
    <row r="295" spans="3:5" x14ac:dyDescent="0.25">
      <c r="C295" s="6" t="s">
        <v>30</v>
      </c>
      <c r="D295" s="3">
        <v>13</v>
      </c>
      <c r="E295" s="3">
        <v>1</v>
      </c>
    </row>
    <row r="296" spans="3:5" x14ac:dyDescent="0.25">
      <c r="C296" s="6" t="s">
        <v>30</v>
      </c>
      <c r="D296" s="3">
        <v>19</v>
      </c>
      <c r="E296" s="3">
        <v>1</v>
      </c>
    </row>
    <row r="297" spans="3:5" x14ac:dyDescent="0.25">
      <c r="C297" s="6" t="s">
        <v>30</v>
      </c>
      <c r="D297" s="3">
        <v>14</v>
      </c>
      <c r="E297" s="3">
        <v>1</v>
      </c>
    </row>
    <row r="298" spans="3:5" x14ac:dyDescent="0.25">
      <c r="C298" s="6" t="s">
        <v>35</v>
      </c>
      <c r="D298" s="3">
        <v>13</v>
      </c>
      <c r="E298" s="3">
        <v>1</v>
      </c>
    </row>
    <row r="299" spans="3:5" x14ac:dyDescent="0.25">
      <c r="C299" s="6" t="s">
        <v>30</v>
      </c>
      <c r="D299" s="3">
        <v>12</v>
      </c>
      <c r="E299" s="3">
        <v>1</v>
      </c>
    </row>
    <row r="300" spans="3:5" x14ac:dyDescent="0.25">
      <c r="C300" s="6" t="s">
        <v>30</v>
      </c>
      <c r="D300" s="3">
        <v>12</v>
      </c>
      <c r="E300" s="3">
        <v>1</v>
      </c>
    </row>
    <row r="301" spans="3:5" x14ac:dyDescent="0.25">
      <c r="C301" s="6" t="s">
        <v>35</v>
      </c>
      <c r="D301" s="3">
        <v>21</v>
      </c>
      <c r="E301" s="3">
        <v>1</v>
      </c>
    </row>
    <row r="302" spans="3:5" x14ac:dyDescent="0.25">
      <c r="C302" s="6" t="s">
        <v>35</v>
      </c>
      <c r="D302" s="3">
        <v>21</v>
      </c>
      <c r="E302" s="3">
        <v>1</v>
      </c>
    </row>
    <row r="303" spans="3:5" x14ac:dyDescent="0.25">
      <c r="C303" s="6" t="s">
        <v>30</v>
      </c>
      <c r="D303" s="3">
        <v>13</v>
      </c>
      <c r="E303" s="3">
        <v>1</v>
      </c>
    </row>
    <row r="304" spans="3:5" x14ac:dyDescent="0.25">
      <c r="C304" s="6" t="s">
        <v>30</v>
      </c>
      <c r="D304" s="3">
        <v>12</v>
      </c>
      <c r="E304" s="3">
        <v>1</v>
      </c>
    </row>
    <row r="305" spans="3:5" x14ac:dyDescent="0.25">
      <c r="C305" s="6" t="s">
        <v>35</v>
      </c>
      <c r="D305" s="18">
        <v>21</v>
      </c>
      <c r="E305" s="3">
        <v>1</v>
      </c>
    </row>
    <row r="306" spans="3:5" x14ac:dyDescent="0.25">
      <c r="C306" s="6" t="s">
        <v>35</v>
      </c>
      <c r="D306" s="18">
        <v>19</v>
      </c>
      <c r="E306" s="3">
        <v>1</v>
      </c>
    </row>
    <row r="307" spans="3:5" x14ac:dyDescent="0.25">
      <c r="C307" s="6" t="s">
        <v>35</v>
      </c>
      <c r="D307" s="18">
        <v>20</v>
      </c>
      <c r="E307" s="3">
        <v>1</v>
      </c>
    </row>
    <row r="308" spans="3:5" x14ac:dyDescent="0.25">
      <c r="C308" s="6" t="s">
        <v>35</v>
      </c>
      <c r="D308" s="18">
        <v>20</v>
      </c>
      <c r="E308" s="3">
        <v>1</v>
      </c>
    </row>
    <row r="309" spans="3:5" x14ac:dyDescent="0.25">
      <c r="C309" s="6" t="s">
        <v>30</v>
      </c>
      <c r="D309" s="18">
        <v>13</v>
      </c>
      <c r="E309" s="3">
        <v>1</v>
      </c>
    </row>
    <row r="310" spans="3:5" x14ac:dyDescent="0.25">
      <c r="C310" s="6" t="s">
        <v>35</v>
      </c>
      <c r="D310" s="18">
        <v>12</v>
      </c>
      <c r="E310" s="3">
        <v>1</v>
      </c>
    </row>
    <row r="311" spans="3:5" x14ac:dyDescent="0.25">
      <c r="C311" s="6" t="s">
        <v>30</v>
      </c>
      <c r="D311" s="18">
        <v>20</v>
      </c>
      <c r="E311" s="3">
        <v>1</v>
      </c>
    </row>
    <row r="312" spans="3:5" x14ac:dyDescent="0.25">
      <c r="C312" s="6" t="s">
        <v>30</v>
      </c>
      <c r="D312" s="18">
        <v>16</v>
      </c>
      <c r="E312" s="3">
        <v>1</v>
      </c>
    </row>
    <row r="313" spans="3:5" x14ac:dyDescent="0.25">
      <c r="C313" s="6" t="s">
        <v>30</v>
      </c>
      <c r="D313" s="18">
        <v>14</v>
      </c>
      <c r="E313" s="3">
        <v>1</v>
      </c>
    </row>
    <row r="314" spans="3:5" x14ac:dyDescent="0.25">
      <c r="C314" s="6" t="s">
        <v>35</v>
      </c>
      <c r="D314" s="18">
        <v>15</v>
      </c>
      <c r="E314" s="3">
        <v>1</v>
      </c>
    </row>
    <row r="315" spans="3:5" x14ac:dyDescent="0.25">
      <c r="C315" s="6" t="s">
        <v>35</v>
      </c>
      <c r="D315" s="18">
        <v>18</v>
      </c>
      <c r="E315" s="3">
        <v>1</v>
      </c>
    </row>
    <row r="316" spans="3:5" x14ac:dyDescent="0.25">
      <c r="C316" s="6" t="s">
        <v>30</v>
      </c>
      <c r="D316" s="18">
        <v>20</v>
      </c>
      <c r="E316" s="3">
        <v>1</v>
      </c>
    </row>
    <row r="317" spans="3:5" x14ac:dyDescent="0.25">
      <c r="C317" s="6" t="s">
        <v>30</v>
      </c>
      <c r="D317" s="18">
        <v>12</v>
      </c>
      <c r="E317" s="3">
        <v>1</v>
      </c>
    </row>
    <row r="318" spans="3:5" x14ac:dyDescent="0.25">
      <c r="C318" s="6" t="s">
        <v>30</v>
      </c>
      <c r="D318" s="18">
        <v>15</v>
      </c>
      <c r="E318" s="3">
        <v>1</v>
      </c>
    </row>
    <row r="319" spans="3:5" x14ac:dyDescent="0.25">
      <c r="C319" s="6" t="s">
        <v>30</v>
      </c>
      <c r="D319" s="18">
        <v>18</v>
      </c>
      <c r="E319" s="3">
        <v>1</v>
      </c>
    </row>
    <row r="320" spans="3:5" x14ac:dyDescent="0.25">
      <c r="C320" s="6" t="s">
        <v>30</v>
      </c>
      <c r="D320" s="18">
        <v>21</v>
      </c>
      <c r="E320" s="3">
        <v>1</v>
      </c>
    </row>
    <row r="321" spans="3:15" x14ac:dyDescent="0.25">
      <c r="C321" s="6" t="s">
        <v>30</v>
      </c>
      <c r="D321" s="18">
        <v>20</v>
      </c>
      <c r="E321" s="3">
        <v>1</v>
      </c>
    </row>
    <row r="322" spans="3:15" x14ac:dyDescent="0.25">
      <c r="C322" s="6" t="s">
        <v>30</v>
      </c>
      <c r="D322" s="18">
        <v>20</v>
      </c>
      <c r="E322" s="3">
        <v>1</v>
      </c>
    </row>
    <row r="328" spans="3:15" x14ac:dyDescent="0.25">
      <c r="C328" s="16" t="s">
        <v>46</v>
      </c>
      <c r="D328" s="7" t="s">
        <v>13</v>
      </c>
      <c r="E328" s="9" t="s">
        <v>13</v>
      </c>
      <c r="H328" s="16" t="s">
        <v>46</v>
      </c>
      <c r="I328" s="7" t="s">
        <v>13</v>
      </c>
      <c r="J328" s="9" t="s">
        <v>13</v>
      </c>
      <c r="K328" t="s">
        <v>134</v>
      </c>
      <c r="M328" s="7" t="s">
        <v>13</v>
      </c>
      <c r="N328" s="9" t="s">
        <v>13</v>
      </c>
      <c r="O328" t="s">
        <v>15</v>
      </c>
    </row>
    <row r="329" spans="3:15" x14ac:dyDescent="0.25">
      <c r="C329" s="6" t="s">
        <v>30</v>
      </c>
      <c r="D329" s="3">
        <v>1</v>
      </c>
      <c r="E329" s="5">
        <v>0</v>
      </c>
      <c r="H329" s="6" t="s">
        <v>30</v>
      </c>
      <c r="I329" s="3">
        <v>1</v>
      </c>
      <c r="J329" s="5">
        <v>0</v>
      </c>
      <c r="K329">
        <f t="shared" ref="K329:K352" si="20">+J329+I329</f>
        <v>1</v>
      </c>
      <c r="M329">
        <v>1</v>
      </c>
      <c r="N329">
        <v>0</v>
      </c>
      <c r="O329">
        <v>22</v>
      </c>
    </row>
    <row r="330" spans="3:15" x14ac:dyDescent="0.25">
      <c r="C330" s="6" t="s">
        <v>30</v>
      </c>
      <c r="D330" s="3">
        <v>1</v>
      </c>
      <c r="E330" s="5">
        <v>0</v>
      </c>
      <c r="H330" s="6" t="s">
        <v>30</v>
      </c>
      <c r="I330" s="3">
        <v>1</v>
      </c>
      <c r="J330" s="5">
        <v>0</v>
      </c>
      <c r="K330">
        <f t="shared" si="20"/>
        <v>1</v>
      </c>
      <c r="M330">
        <v>1</v>
      </c>
      <c r="N330">
        <v>1</v>
      </c>
      <c r="O330">
        <v>2</v>
      </c>
    </row>
    <row r="331" spans="3:15" x14ac:dyDescent="0.25">
      <c r="C331" s="6" t="s">
        <v>30</v>
      </c>
      <c r="D331" s="3">
        <v>1</v>
      </c>
      <c r="E331" s="5">
        <v>0</v>
      </c>
      <c r="H331" s="6" t="s">
        <v>30</v>
      </c>
      <c r="I331" s="3">
        <v>1</v>
      </c>
      <c r="J331" s="5">
        <v>0</v>
      </c>
      <c r="K331">
        <f t="shared" si="20"/>
        <v>1</v>
      </c>
      <c r="M331">
        <v>0</v>
      </c>
      <c r="N331">
        <v>0</v>
      </c>
      <c r="O331">
        <v>0</v>
      </c>
    </row>
    <row r="332" spans="3:15" x14ac:dyDescent="0.25">
      <c r="C332" s="6" t="s">
        <v>30</v>
      </c>
      <c r="D332" s="3">
        <v>1</v>
      </c>
      <c r="E332" s="5">
        <v>0</v>
      </c>
      <c r="H332" s="6" t="s">
        <v>30</v>
      </c>
      <c r="I332" s="3">
        <v>1</v>
      </c>
      <c r="J332" s="5">
        <v>0</v>
      </c>
      <c r="K332">
        <f t="shared" si="20"/>
        <v>1</v>
      </c>
    </row>
    <row r="333" spans="3:15" x14ac:dyDescent="0.25">
      <c r="C333" s="6" t="s">
        <v>30</v>
      </c>
      <c r="D333" s="3">
        <v>1</v>
      </c>
      <c r="E333" s="5">
        <v>0</v>
      </c>
      <c r="H333" s="6" t="s">
        <v>30</v>
      </c>
      <c r="I333" s="3">
        <v>1</v>
      </c>
      <c r="J333" s="5">
        <v>0</v>
      </c>
      <c r="K333">
        <f t="shared" si="20"/>
        <v>1</v>
      </c>
    </row>
    <row r="334" spans="3:15" x14ac:dyDescent="0.25">
      <c r="C334" s="6" t="s">
        <v>30</v>
      </c>
      <c r="D334" s="3">
        <v>1</v>
      </c>
      <c r="E334" s="5">
        <v>0</v>
      </c>
      <c r="H334" s="6" t="s">
        <v>30</v>
      </c>
      <c r="I334" s="3">
        <v>1</v>
      </c>
      <c r="J334" s="5">
        <v>0</v>
      </c>
      <c r="K334">
        <f t="shared" si="20"/>
        <v>1</v>
      </c>
    </row>
    <row r="335" spans="3:15" x14ac:dyDescent="0.25">
      <c r="C335" s="6" t="s">
        <v>30</v>
      </c>
      <c r="D335" s="3">
        <v>1</v>
      </c>
      <c r="E335" s="5">
        <v>0</v>
      </c>
      <c r="H335" s="6" t="s">
        <v>30</v>
      </c>
      <c r="I335" s="3">
        <v>1</v>
      </c>
      <c r="J335" s="5">
        <v>0</v>
      </c>
      <c r="K335">
        <f t="shared" si="20"/>
        <v>1</v>
      </c>
    </row>
    <row r="336" spans="3:15" x14ac:dyDescent="0.25">
      <c r="C336" s="6" t="s">
        <v>30</v>
      </c>
      <c r="D336" s="3">
        <v>1</v>
      </c>
      <c r="E336" s="5">
        <v>0</v>
      </c>
      <c r="H336" s="6" t="s">
        <v>30</v>
      </c>
      <c r="I336" s="3">
        <v>1</v>
      </c>
      <c r="J336" s="5">
        <v>0</v>
      </c>
      <c r="K336">
        <f t="shared" si="20"/>
        <v>1</v>
      </c>
    </row>
    <row r="337" spans="3:11" x14ac:dyDescent="0.25">
      <c r="C337" s="6" t="s">
        <v>30</v>
      </c>
      <c r="D337" s="3">
        <v>1</v>
      </c>
      <c r="E337" s="5">
        <v>0</v>
      </c>
      <c r="H337" s="6" t="s">
        <v>30</v>
      </c>
      <c r="I337" s="3">
        <v>1</v>
      </c>
      <c r="J337" s="5">
        <v>0</v>
      </c>
      <c r="K337">
        <f t="shared" si="20"/>
        <v>1</v>
      </c>
    </row>
    <row r="338" spans="3:11" x14ac:dyDescent="0.25">
      <c r="C338" s="6" t="s">
        <v>30</v>
      </c>
      <c r="D338" s="3">
        <v>1</v>
      </c>
      <c r="E338" s="5">
        <v>0</v>
      </c>
      <c r="H338" s="6" t="s">
        <v>30</v>
      </c>
      <c r="I338" s="3">
        <v>1</v>
      </c>
      <c r="J338" s="5">
        <v>0</v>
      </c>
      <c r="K338">
        <f t="shared" si="20"/>
        <v>1</v>
      </c>
    </row>
    <row r="339" spans="3:11" x14ac:dyDescent="0.25">
      <c r="C339" s="6" t="s">
        <v>30</v>
      </c>
      <c r="D339" s="3">
        <v>1</v>
      </c>
      <c r="E339" s="5">
        <v>0</v>
      </c>
      <c r="H339" s="6" t="s">
        <v>30</v>
      </c>
      <c r="I339" s="3">
        <v>1</v>
      </c>
      <c r="J339" s="5">
        <v>0</v>
      </c>
      <c r="K339">
        <f t="shared" si="20"/>
        <v>1</v>
      </c>
    </row>
    <row r="340" spans="3:11" x14ac:dyDescent="0.25">
      <c r="C340" s="6" t="s">
        <v>30</v>
      </c>
      <c r="D340" s="3">
        <v>1</v>
      </c>
      <c r="E340" s="5">
        <v>0</v>
      </c>
      <c r="H340" s="6" t="s">
        <v>30</v>
      </c>
      <c r="I340" s="3">
        <v>1</v>
      </c>
      <c r="J340" s="5">
        <v>0</v>
      </c>
      <c r="K340">
        <f t="shared" si="20"/>
        <v>1</v>
      </c>
    </row>
    <row r="341" spans="3:11" x14ac:dyDescent="0.25">
      <c r="C341" s="6" t="s">
        <v>30</v>
      </c>
      <c r="D341" s="3">
        <v>1</v>
      </c>
      <c r="E341" s="5">
        <v>0</v>
      </c>
      <c r="H341" s="6" t="s">
        <v>30</v>
      </c>
      <c r="I341" s="3">
        <v>1</v>
      </c>
      <c r="J341" s="5">
        <v>0</v>
      </c>
      <c r="K341">
        <f t="shared" si="20"/>
        <v>1</v>
      </c>
    </row>
    <row r="342" spans="3:11" x14ac:dyDescent="0.25">
      <c r="C342" s="6" t="s">
        <v>30</v>
      </c>
      <c r="D342" s="3">
        <v>1</v>
      </c>
      <c r="E342" s="5">
        <v>0</v>
      </c>
      <c r="H342" s="6" t="s">
        <v>30</v>
      </c>
      <c r="I342" s="3">
        <v>1</v>
      </c>
      <c r="J342" s="5">
        <v>0</v>
      </c>
      <c r="K342">
        <f t="shared" si="20"/>
        <v>1</v>
      </c>
    </row>
    <row r="343" spans="3:11" x14ac:dyDescent="0.25">
      <c r="C343" s="6" t="s">
        <v>30</v>
      </c>
      <c r="D343" s="3">
        <v>1</v>
      </c>
      <c r="E343" s="5">
        <v>0</v>
      </c>
      <c r="H343" s="6" t="s">
        <v>30</v>
      </c>
      <c r="I343" s="3">
        <v>1</v>
      </c>
      <c r="J343" s="5">
        <v>0</v>
      </c>
      <c r="K343">
        <f t="shared" si="20"/>
        <v>1</v>
      </c>
    </row>
    <row r="344" spans="3:11" x14ac:dyDescent="0.25">
      <c r="C344" s="6" t="s">
        <v>30</v>
      </c>
      <c r="D344" s="3">
        <v>1</v>
      </c>
      <c r="E344" s="5">
        <v>0</v>
      </c>
      <c r="H344" s="6" t="s">
        <v>30</v>
      </c>
      <c r="I344" s="3">
        <v>1</v>
      </c>
      <c r="J344" s="5">
        <v>0</v>
      </c>
      <c r="K344">
        <f t="shared" si="20"/>
        <v>1</v>
      </c>
    </row>
    <row r="345" spans="3:11" x14ac:dyDescent="0.25">
      <c r="C345" s="6" t="s">
        <v>30</v>
      </c>
      <c r="D345" s="3">
        <v>1</v>
      </c>
      <c r="E345" s="5">
        <v>0</v>
      </c>
      <c r="H345" s="6" t="s">
        <v>30</v>
      </c>
      <c r="I345" s="3">
        <v>1</v>
      </c>
      <c r="J345" s="5">
        <v>0</v>
      </c>
      <c r="K345">
        <f t="shared" si="20"/>
        <v>1</v>
      </c>
    </row>
    <row r="346" spans="3:11" x14ac:dyDescent="0.25">
      <c r="C346" s="6" t="s">
        <v>30</v>
      </c>
      <c r="D346" s="3">
        <v>1</v>
      </c>
      <c r="E346" s="5">
        <v>1</v>
      </c>
      <c r="H346" s="6" t="s">
        <v>30</v>
      </c>
      <c r="I346" s="3">
        <v>1</v>
      </c>
      <c r="J346" s="5">
        <v>0</v>
      </c>
      <c r="K346">
        <f t="shared" si="20"/>
        <v>1</v>
      </c>
    </row>
    <row r="347" spans="3:11" x14ac:dyDescent="0.25">
      <c r="C347" s="6" t="s">
        <v>30</v>
      </c>
      <c r="D347" s="3">
        <v>1</v>
      </c>
      <c r="E347" s="5">
        <v>0</v>
      </c>
      <c r="H347" s="6" t="s">
        <v>30</v>
      </c>
      <c r="I347" s="3">
        <v>1</v>
      </c>
      <c r="J347" s="5">
        <v>0</v>
      </c>
      <c r="K347">
        <f t="shared" si="20"/>
        <v>1</v>
      </c>
    </row>
    <row r="348" spans="3:11" x14ac:dyDescent="0.25">
      <c r="C348" s="6" t="s">
        <v>30</v>
      </c>
      <c r="D348" s="3">
        <v>1</v>
      </c>
      <c r="E348" s="5">
        <v>0</v>
      </c>
      <c r="H348" s="6" t="s">
        <v>30</v>
      </c>
      <c r="I348" s="3">
        <v>1</v>
      </c>
      <c r="J348" s="5">
        <v>0</v>
      </c>
      <c r="K348">
        <f t="shared" si="20"/>
        <v>1</v>
      </c>
    </row>
    <row r="349" spans="3:11" x14ac:dyDescent="0.25">
      <c r="C349" s="6" t="s">
        <v>30</v>
      </c>
      <c r="D349" s="3">
        <v>1</v>
      </c>
      <c r="E349" s="5">
        <v>0</v>
      </c>
      <c r="H349" s="6" t="s">
        <v>30</v>
      </c>
      <c r="I349" s="3">
        <v>1</v>
      </c>
      <c r="J349" s="5">
        <v>0</v>
      </c>
      <c r="K349">
        <f t="shared" si="20"/>
        <v>1</v>
      </c>
    </row>
    <row r="350" spans="3:11" x14ac:dyDescent="0.25">
      <c r="C350" s="6" t="s">
        <v>30</v>
      </c>
      <c r="D350" s="3">
        <v>1</v>
      </c>
      <c r="E350" s="5">
        <v>1</v>
      </c>
      <c r="H350" s="6" t="s">
        <v>30</v>
      </c>
      <c r="I350" s="3">
        <v>1</v>
      </c>
      <c r="J350" s="5">
        <v>0</v>
      </c>
      <c r="K350">
        <f t="shared" si="20"/>
        <v>1</v>
      </c>
    </row>
    <row r="351" spans="3:11" x14ac:dyDescent="0.25">
      <c r="C351" s="6" t="s">
        <v>30</v>
      </c>
      <c r="D351" s="3">
        <v>1</v>
      </c>
      <c r="E351" s="5">
        <v>0</v>
      </c>
      <c r="H351" s="6" t="s">
        <v>30</v>
      </c>
      <c r="I351" s="3">
        <v>1</v>
      </c>
      <c r="J351" s="5">
        <v>1</v>
      </c>
      <c r="K351">
        <f t="shared" si="20"/>
        <v>2</v>
      </c>
    </row>
    <row r="352" spans="3:11" x14ac:dyDescent="0.25">
      <c r="C352" s="6" t="s">
        <v>30</v>
      </c>
      <c r="D352" s="3">
        <v>1</v>
      </c>
      <c r="E352" s="5">
        <v>0</v>
      </c>
      <c r="H352" s="6" t="s">
        <v>30</v>
      </c>
      <c r="I352" s="3">
        <v>1</v>
      </c>
      <c r="J352" s="5">
        <v>1</v>
      </c>
      <c r="K352">
        <f t="shared" si="20"/>
        <v>2</v>
      </c>
    </row>
    <row r="353" spans="3:10" x14ac:dyDescent="0.25">
      <c r="C353" s="6" t="s">
        <v>35</v>
      </c>
      <c r="D353" s="3">
        <v>1</v>
      </c>
      <c r="E353" s="5">
        <v>0</v>
      </c>
    </row>
    <row r="354" spans="3:10" x14ac:dyDescent="0.25">
      <c r="C354" s="6" t="s">
        <v>35</v>
      </c>
      <c r="D354" s="3">
        <v>1</v>
      </c>
      <c r="E354" s="5">
        <v>0</v>
      </c>
    </row>
    <row r="355" spans="3:10" x14ac:dyDescent="0.25">
      <c r="C355" s="6" t="s">
        <v>35</v>
      </c>
      <c r="D355" s="3">
        <v>1</v>
      </c>
      <c r="E355" s="5">
        <v>0</v>
      </c>
    </row>
    <row r="356" spans="3:10" x14ac:dyDescent="0.25">
      <c r="C356" s="6" t="s">
        <v>35</v>
      </c>
      <c r="D356" s="3">
        <v>1</v>
      </c>
      <c r="E356" s="5">
        <v>0</v>
      </c>
    </row>
    <row r="357" spans="3:10" x14ac:dyDescent="0.25">
      <c r="C357" s="6" t="s">
        <v>35</v>
      </c>
      <c r="D357" s="3">
        <v>1</v>
      </c>
      <c r="E357" s="5">
        <v>0</v>
      </c>
    </row>
    <row r="358" spans="3:10" x14ac:dyDescent="0.25">
      <c r="C358" s="6" t="s">
        <v>35</v>
      </c>
      <c r="D358" s="3">
        <v>1</v>
      </c>
      <c r="E358" s="5">
        <v>0</v>
      </c>
    </row>
    <row r="359" spans="3:10" x14ac:dyDescent="0.25">
      <c r="C359" s="6" t="s">
        <v>35</v>
      </c>
      <c r="D359" s="3">
        <v>1</v>
      </c>
      <c r="E359" s="5">
        <v>0</v>
      </c>
      <c r="H359" s="16" t="s">
        <v>46</v>
      </c>
      <c r="I359" s="7" t="s">
        <v>13</v>
      </c>
      <c r="J359" s="9" t="s">
        <v>13</v>
      </c>
    </row>
    <row r="360" spans="3:10" x14ac:dyDescent="0.25">
      <c r="C360" s="6" t="s">
        <v>35</v>
      </c>
      <c r="D360" s="3">
        <v>1</v>
      </c>
      <c r="E360" s="5">
        <v>1</v>
      </c>
      <c r="H360" s="6" t="s">
        <v>35</v>
      </c>
      <c r="I360" s="3">
        <v>1</v>
      </c>
      <c r="J360" s="5">
        <v>0</v>
      </c>
    </row>
    <row r="361" spans="3:10" x14ac:dyDescent="0.25">
      <c r="C361" s="6" t="s">
        <v>35</v>
      </c>
      <c r="D361" s="3">
        <v>1</v>
      </c>
      <c r="E361" s="5">
        <v>1</v>
      </c>
      <c r="H361" s="6" t="s">
        <v>35</v>
      </c>
      <c r="I361" s="3">
        <v>1</v>
      </c>
      <c r="J361" s="5">
        <v>0</v>
      </c>
    </row>
    <row r="362" spans="3:10" x14ac:dyDescent="0.25">
      <c r="C362" s="6" t="s">
        <v>35</v>
      </c>
      <c r="D362" s="3">
        <v>1</v>
      </c>
      <c r="E362" s="5">
        <v>0</v>
      </c>
      <c r="H362" s="6" t="s">
        <v>35</v>
      </c>
      <c r="I362" s="3">
        <v>1</v>
      </c>
      <c r="J362" s="5">
        <v>0</v>
      </c>
    </row>
    <row r="363" spans="3:10" x14ac:dyDescent="0.25">
      <c r="C363" s="6" t="s">
        <v>35</v>
      </c>
      <c r="D363" s="3">
        <v>1</v>
      </c>
      <c r="E363" s="5">
        <v>0</v>
      </c>
      <c r="H363" s="6" t="s">
        <v>35</v>
      </c>
      <c r="I363" s="3">
        <v>1</v>
      </c>
      <c r="J363" s="5">
        <v>0</v>
      </c>
    </row>
    <row r="364" spans="3:10" x14ac:dyDescent="0.25">
      <c r="C364" s="6" t="s">
        <v>35</v>
      </c>
      <c r="D364" s="3">
        <v>1</v>
      </c>
      <c r="E364" s="5">
        <v>0</v>
      </c>
      <c r="H364" s="6" t="s">
        <v>35</v>
      </c>
      <c r="I364" s="3">
        <v>1</v>
      </c>
      <c r="J364" s="5">
        <v>0</v>
      </c>
    </row>
    <row r="365" spans="3:10" x14ac:dyDescent="0.25">
      <c r="H365" s="6" t="s">
        <v>35</v>
      </c>
      <c r="I365" s="3">
        <v>1</v>
      </c>
      <c r="J365" s="5">
        <v>0</v>
      </c>
    </row>
    <row r="366" spans="3:10" x14ac:dyDescent="0.25">
      <c r="H366" s="6" t="s">
        <v>35</v>
      </c>
      <c r="I366" s="3">
        <v>1</v>
      </c>
      <c r="J366" s="5">
        <v>0</v>
      </c>
    </row>
    <row r="367" spans="3:10" x14ac:dyDescent="0.25">
      <c r="H367" s="6" t="s">
        <v>35</v>
      </c>
      <c r="I367" s="3">
        <v>1</v>
      </c>
      <c r="J367" s="5">
        <v>1</v>
      </c>
    </row>
    <row r="368" spans="3:10" x14ac:dyDescent="0.25">
      <c r="H368" s="6" t="s">
        <v>35</v>
      </c>
      <c r="I368" s="3">
        <v>1</v>
      </c>
      <c r="J368" s="5">
        <v>1</v>
      </c>
    </row>
    <row r="369" spans="8:10" x14ac:dyDescent="0.25">
      <c r="H369" s="6" t="s">
        <v>35</v>
      </c>
      <c r="I369" s="3">
        <v>1</v>
      </c>
      <c r="J369" s="5">
        <v>0</v>
      </c>
    </row>
    <row r="370" spans="8:10" x14ac:dyDescent="0.25">
      <c r="H370" s="6" t="s">
        <v>35</v>
      </c>
      <c r="I370" s="3">
        <v>1</v>
      </c>
      <c r="J370" s="5">
        <v>0</v>
      </c>
    </row>
    <row r="371" spans="8:10" x14ac:dyDescent="0.25">
      <c r="H371" s="6" t="s">
        <v>35</v>
      </c>
      <c r="I371" s="3">
        <v>1</v>
      </c>
      <c r="J371" s="5">
        <v>0</v>
      </c>
    </row>
  </sheetData>
  <sortState xmlns:xlrd2="http://schemas.microsoft.com/office/spreadsheetml/2017/richdata2" ref="H329:K352">
    <sortCondition ref="J329:J352"/>
  </sortState>
  <mergeCells count="13">
    <mergeCell ref="C127:D127"/>
    <mergeCell ref="A1:J1"/>
    <mergeCell ref="C2:F2"/>
    <mergeCell ref="G2:J2"/>
    <mergeCell ref="C3:D3"/>
    <mergeCell ref="E3:F3"/>
    <mergeCell ref="G3:J3"/>
    <mergeCell ref="G151:H151"/>
    <mergeCell ref="F152:F155"/>
    <mergeCell ref="F156:F158"/>
    <mergeCell ref="AG5:AG6"/>
    <mergeCell ref="AG7:AG8"/>
    <mergeCell ref="AG9:AG12"/>
  </mergeCells>
  <pageMargins left="0.7" right="0.7" top="0.75" bottom="0.75" header="0.3" footer="0.3"/>
  <extLst>
    <ext xmlns:x14="http://schemas.microsoft.com/office/spreadsheetml/2009/9/main" uri="{05C60535-1F16-4fd2-B633-F4F36F0B64E0}">
      <x14:sparklineGroups xmlns:xm="http://schemas.microsoft.com/office/excel/2006/main">
        <x14:sparklineGroup type="column" displayEmptyCellsAs="gap" xr2:uid="{6721158F-C861-4926-9406-CD6C3549B579}">
          <x14:colorSeries rgb="FF376092"/>
          <x14:colorNegative rgb="FFD00000"/>
          <x14:colorAxis rgb="FF000000"/>
          <x14:colorMarkers rgb="FFD00000"/>
          <x14:colorFirst rgb="FFD00000"/>
          <x14:colorLast rgb="FFD00000"/>
          <x14:colorHigh rgb="FFD00000"/>
          <x14:colorLow rgb="FFD00000"/>
          <x14:sparklines>
            <x14:sparkline>
              <xm:f>base!A4:A4</xm:f>
              <xm:sqref>C4</xm:sqref>
            </x14:sparkline>
          </x14:sparklines>
        </x14:sparklineGroup>
        <x14:sparklineGroup type="column" displayEmptyCellsAs="gap" xr2:uid="{F6D2CD77-1F4E-406B-8E09-527E0CC60F34}">
          <x14:colorSeries rgb="FF376092"/>
          <x14:colorNegative rgb="FFD00000"/>
          <x14:colorAxis rgb="FF000000"/>
          <x14:colorMarkers rgb="FFD00000"/>
          <x14:colorFirst rgb="FFD00000"/>
          <x14:colorLast rgb="FFD00000"/>
          <x14:colorHigh rgb="FFD00000"/>
          <x14:colorLow rgb="FFD00000"/>
          <x14:sparklines>
            <x14:sparkline>
              <xm:f>base!A49:A49</xm:f>
              <xm:sqref>C50</xm:sqref>
            </x14:sparkline>
            <x14:sparkline>
              <xm:f>base!A50:A50</xm:f>
              <xm:sqref>C51</xm:sqref>
            </x14:sparkline>
            <x14:sparkline>
              <xm:f>base!A51:A51</xm:f>
              <xm:sqref>C52</xm:sqref>
            </x14:sparkline>
            <x14:sparkline>
              <xm:f>base!A52:A52</xm:f>
              <xm:sqref>C53</xm:sqref>
            </x14:sparkline>
            <x14:sparkline>
              <xm:f>base!A53:A53</xm:f>
              <xm:sqref>C54</xm:sqref>
            </x14:sparkline>
            <x14:sparkline>
              <xm:f>base!A54:A54</xm:f>
              <xm:sqref>C55</xm:sqref>
            </x14:sparkline>
            <x14:sparkline>
              <xm:f>base!A55:A55</xm:f>
              <xm:sqref>C56</xm:sqref>
            </x14:sparkline>
            <x14:sparkline>
              <xm:f>base!A56:A56</xm:f>
              <xm:sqref>C57</xm:sqref>
            </x14:sparkline>
            <x14:sparkline>
              <xm:f>base!A57:A57</xm:f>
              <xm:sqref>C58</xm:sqref>
            </x14:sparkline>
            <x14:sparkline>
              <xm:f>base!A58:A58</xm:f>
              <xm:sqref>C59</xm:sqref>
            </x14:sparkline>
            <x14:sparkline>
              <xm:f>base!A59:A59</xm:f>
              <xm:sqref>C60</xm:sqref>
            </x14:sparkline>
            <x14:sparkline>
              <xm:f>base!A60:A60</xm:f>
              <xm:sqref>C61</xm:sqref>
            </x14:sparkline>
            <x14:sparkline>
              <xm:f>base!A61:A61</xm:f>
              <xm:sqref>C62</xm:sqref>
            </x14:sparkline>
            <x14:sparkline>
              <xm:f>base!A62:A62</xm:f>
              <xm:sqref>C63</xm:sqref>
            </x14:sparkline>
            <x14:sparkline>
              <xm:f>base!A63:A63</xm:f>
              <xm:sqref>C64</xm:sqref>
            </x14:sparkline>
            <x14:sparkline>
              <xm:f>base!A64:A64</xm:f>
              <xm:sqref>C65</xm:sqref>
            </x14:sparkline>
            <x14:sparkline>
              <xm:f>base!A65:A65</xm:f>
              <xm:sqref>C66</xm:sqref>
            </x14:sparkline>
            <x14:sparkline>
              <xm:f>base!A66:A66</xm:f>
              <xm:sqref>C67</xm:sqref>
            </x14:sparkline>
            <x14:sparkline>
              <xm:f>base!A67:A67</xm:f>
              <xm:sqref>C68</xm:sqref>
            </x14:sparkline>
            <x14:sparkline>
              <xm:f>base!A68:A68</xm:f>
              <xm:sqref>C69</xm:sqref>
            </x14:sparkline>
            <x14:sparkline>
              <xm:f>base!A69:A69</xm:f>
              <xm:sqref>C70</xm:sqref>
            </x14:sparkline>
            <x14:sparkline>
              <xm:f>base!A70:A70</xm:f>
              <xm:sqref>C71</xm:sqref>
            </x14:sparkline>
            <x14:sparkline>
              <xm:f>base!A71:A71</xm:f>
              <xm:sqref>C72</xm:sqref>
            </x14:sparkline>
            <x14:sparkline>
              <xm:f>base!A72:A72</xm:f>
              <xm:sqref>C73</xm:sqref>
            </x14:sparkline>
            <x14:sparkline>
              <xm:f>base!A73:A73</xm:f>
              <xm:sqref>C74</xm:sqref>
            </x14:sparkline>
            <x14:sparkline>
              <xm:f>base!A74:A74</xm:f>
              <xm:sqref>C75</xm:sqref>
            </x14:sparkline>
            <x14:sparkline>
              <xm:f>base!A75:A75</xm:f>
              <xm:sqref>C76</xm:sqref>
            </x14:sparkline>
            <x14:sparkline>
              <xm:f>base!A76:A76</xm:f>
              <xm:sqref>C77</xm:sqref>
            </x14:sparkline>
            <x14:sparkline>
              <xm:f>base!A77:A77</xm:f>
              <xm:sqref>C78</xm:sqref>
            </x14:sparkline>
            <x14:sparkline>
              <xm:f>base!A78:A78</xm:f>
              <xm:sqref>C79</xm:sqref>
            </x14:sparkline>
            <x14:sparkline>
              <xm:f>base!A79:A79</xm:f>
              <xm:sqref>C80</xm:sqref>
            </x14:sparkline>
            <x14:sparkline>
              <xm:f>base!A80:A80</xm:f>
              <xm:sqref>C81</xm:sqref>
            </x14:sparkline>
            <x14:sparkline>
              <xm:f>base!A81:A81</xm:f>
              <xm:sqref>C82</xm:sqref>
            </x14:sparkline>
            <x14:sparkline>
              <xm:f>base!A82:A82</xm:f>
              <xm:sqref>C83</xm:sqref>
            </x14:sparkline>
            <x14:sparkline>
              <xm:f>base!A83:A83</xm:f>
              <xm:sqref>C84</xm:sqref>
            </x14:sparkline>
            <x14:sparkline>
              <xm:f>base!A84:A84</xm:f>
              <xm:sqref>C85</xm:sqref>
            </x14:sparkline>
          </x14:sparklines>
        </x14:sparklineGroup>
        <x14:sparklineGroup type="column" displayEmptyCellsAs="gap" xr2:uid="{04468B40-6075-4312-88FD-65020F700D39}">
          <x14:colorSeries rgb="FF376092"/>
          <x14:colorNegative rgb="FFD00000"/>
          <x14:colorAxis rgb="FF000000"/>
          <x14:colorMarkers rgb="FFD00000"/>
          <x14:colorFirst rgb="FFD00000"/>
          <x14:colorLast rgb="FFD00000"/>
          <x14:colorHigh rgb="FFD00000"/>
          <x14:colorLow rgb="FFD00000"/>
          <x14:sparklines>
            <x14:sparkline>
              <xm:f>base!A128:A128</xm:f>
              <xm:sqref>C129</xm:sqref>
            </x14:sparkline>
            <x14:sparkline>
              <xm:f>base!A129:A129</xm:f>
              <xm:sqref>C130</xm:sqref>
            </x14:sparkline>
            <x14:sparkline>
              <xm:f>base!A130:A130</xm:f>
              <xm:sqref>C131</xm:sqref>
            </x14:sparkline>
            <x14:sparkline>
              <xm:f>base!A131:A131</xm:f>
              <xm:sqref>C132</xm:sqref>
            </x14:sparkline>
            <x14:sparkline>
              <xm:f>base!A132:A132</xm:f>
              <xm:sqref>C133</xm:sqref>
            </x14:sparkline>
            <x14:sparkline>
              <xm:f>base!A133:A133</xm:f>
              <xm:sqref>C134</xm:sqref>
            </x14:sparkline>
            <x14:sparkline>
              <xm:f>base!A134:A134</xm:f>
              <xm:sqref>C135</xm:sqref>
            </x14:sparkline>
            <x14:sparkline>
              <xm:f>base!A135:A135</xm:f>
              <xm:sqref>C136</xm:sqref>
            </x14:sparkline>
            <x14:sparkline>
              <xm:f>base!A136:A136</xm:f>
              <xm:sqref>C137</xm:sqref>
            </x14:sparkline>
            <x14:sparkline>
              <xm:f>base!A137:A137</xm:f>
              <xm:sqref>C138</xm:sqref>
            </x14:sparkline>
            <x14:sparkline>
              <xm:f>base!A138:A138</xm:f>
              <xm:sqref>C139</xm:sqref>
            </x14:sparkline>
            <x14:sparkline>
              <xm:f>base!A139:A139</xm:f>
              <xm:sqref>C140</xm:sqref>
            </x14:sparkline>
            <x14:sparkline>
              <xm:f>base!A140:A140</xm:f>
              <xm:sqref>C141</xm:sqref>
            </x14:sparkline>
            <x14:sparkline>
              <xm:f>base!A141:A141</xm:f>
              <xm:sqref>C142</xm:sqref>
            </x14:sparkline>
            <x14:sparkline>
              <xm:f>base!A142:A142</xm:f>
              <xm:sqref>C143</xm:sqref>
            </x14:sparkline>
            <x14:sparkline>
              <xm:f>base!A143:A143</xm:f>
              <xm:sqref>C144</xm:sqref>
            </x14:sparkline>
            <x14:sparkline>
              <xm:f>base!A144:A144</xm:f>
              <xm:sqref>C145</xm:sqref>
            </x14:sparkline>
            <x14:sparkline>
              <xm:f>base!A145:A145</xm:f>
              <xm:sqref>C146</xm:sqref>
            </x14:sparkline>
            <x14:sparkline>
              <xm:f>base!A146:A146</xm:f>
              <xm:sqref>C147</xm:sqref>
            </x14:sparkline>
            <x14:sparkline>
              <xm:f>base!A147:A147</xm:f>
              <xm:sqref>C148</xm:sqref>
            </x14:sparkline>
            <x14:sparkline>
              <xm:f>base!A148:A148</xm:f>
              <xm:sqref>C149</xm:sqref>
            </x14:sparkline>
            <x14:sparkline>
              <xm:f>base!A149:A149</xm:f>
              <xm:sqref>C150</xm:sqref>
            </x14:sparkline>
            <x14:sparkline>
              <xm:f>base!A150:A150</xm:f>
              <xm:sqref>C151</xm:sqref>
            </x14:sparkline>
            <x14:sparkline>
              <xm:f>base!A151:A151</xm:f>
              <xm:sqref>C152</xm:sqref>
            </x14:sparkline>
            <x14:sparkline>
              <xm:f>base!A152:A152</xm:f>
              <xm:sqref>C153</xm:sqref>
            </x14:sparkline>
            <x14:sparkline>
              <xm:f>base!A153:A153</xm:f>
              <xm:sqref>C154</xm:sqref>
            </x14:sparkline>
            <x14:sparkline>
              <xm:f>base!A154:A154</xm:f>
              <xm:sqref>C155</xm:sqref>
            </x14:sparkline>
            <x14:sparkline>
              <xm:f>base!A155:A155</xm:f>
              <xm:sqref>C156</xm:sqref>
            </x14:sparkline>
            <x14:sparkline>
              <xm:f>base!A156:A156</xm:f>
              <xm:sqref>C157</xm:sqref>
            </x14:sparkline>
            <x14:sparkline>
              <xm:f>base!A157:A157</xm:f>
              <xm:sqref>C158</xm:sqref>
            </x14:sparkline>
            <x14:sparkline>
              <xm:f>base!A158:A158</xm:f>
              <xm:sqref>C159</xm:sqref>
            </x14:sparkline>
            <x14:sparkline>
              <xm:f>base!A159:A159</xm:f>
              <xm:sqref>C160</xm:sqref>
            </x14:sparkline>
            <x14:sparkline>
              <xm:f>base!A160:A160</xm:f>
              <xm:sqref>C161</xm:sqref>
            </x14:sparkline>
            <x14:sparkline>
              <xm:f>base!A161:A161</xm:f>
              <xm:sqref>C162</xm:sqref>
            </x14:sparkline>
            <x14:sparkline>
              <xm:f>base!A162:A162</xm:f>
              <xm:sqref>C163</xm:sqref>
            </x14:sparkline>
            <x14:sparkline>
              <xm:f>base!A163:A163</xm:f>
              <xm:sqref>C164</xm:sqref>
            </x14:sparkline>
          </x14:sparklines>
        </x14:sparklineGroup>
      </x14:sparklineGroup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266B9C-02EB-4EF4-BA33-3B19FC9B1652}">
  <dimension ref="A1:J44"/>
  <sheetViews>
    <sheetView workbookViewId="0">
      <selection activeCell="B4" sqref="B4:F4"/>
    </sheetView>
  </sheetViews>
  <sheetFormatPr baseColWidth="10" defaultColWidth="11.42578125" defaultRowHeight="15" x14ac:dyDescent="0.25"/>
  <sheetData>
    <row r="1" spans="1:10" ht="89.25" customHeight="1" x14ac:dyDescent="0.25">
      <c r="A1" s="94" t="s">
        <v>43</v>
      </c>
      <c r="B1" s="94"/>
      <c r="C1" s="95"/>
      <c r="D1" s="95"/>
      <c r="E1" s="95"/>
      <c r="F1" s="95"/>
      <c r="G1" s="95"/>
      <c r="H1" s="95"/>
      <c r="I1" s="95"/>
      <c r="J1" s="95"/>
    </row>
    <row r="2" spans="1:10" x14ac:dyDescent="0.25">
      <c r="A2" s="2"/>
      <c r="B2" s="2"/>
      <c r="C2" s="96" t="s">
        <v>44</v>
      </c>
      <c r="D2" s="96"/>
      <c r="E2" s="96"/>
      <c r="F2" s="96"/>
      <c r="G2" s="97"/>
      <c r="H2" s="98"/>
      <c r="I2" s="98"/>
      <c r="J2" s="99"/>
    </row>
    <row r="3" spans="1:10" x14ac:dyDescent="0.25">
      <c r="A3" s="2"/>
      <c r="B3" s="2"/>
      <c r="C3" s="90" t="s">
        <v>19</v>
      </c>
      <c r="D3" s="91"/>
      <c r="E3" s="92" t="s">
        <v>33</v>
      </c>
      <c r="F3" s="92"/>
      <c r="G3" s="100" t="s">
        <v>38</v>
      </c>
      <c r="H3" s="100"/>
      <c r="I3" s="100"/>
      <c r="J3" s="100"/>
    </row>
    <row r="4" spans="1:10" x14ac:dyDescent="0.25">
      <c r="A4" s="11" t="s">
        <v>45</v>
      </c>
      <c r="B4" s="16" t="s">
        <v>46</v>
      </c>
      <c r="C4" s="8" t="s">
        <v>20</v>
      </c>
      <c r="D4" s="15" t="s">
        <v>28</v>
      </c>
      <c r="E4" s="8" t="s">
        <v>34</v>
      </c>
      <c r="F4" s="9" t="s">
        <v>28</v>
      </c>
      <c r="G4" s="8" t="s">
        <v>20</v>
      </c>
      <c r="H4" s="7" t="s">
        <v>13</v>
      </c>
      <c r="I4" s="15" t="s">
        <v>28</v>
      </c>
      <c r="J4" s="9" t="s">
        <v>13</v>
      </c>
    </row>
    <row r="5" spans="1:10" x14ac:dyDescent="0.25">
      <c r="A5" s="6">
        <v>1</v>
      </c>
      <c r="B5" s="6" t="s">
        <v>30</v>
      </c>
      <c r="C5" s="4" t="s">
        <v>137</v>
      </c>
      <c r="D5" s="10" t="s">
        <v>138</v>
      </c>
      <c r="E5" s="4" t="s">
        <v>139</v>
      </c>
      <c r="F5" s="5">
        <v>11.3</v>
      </c>
      <c r="G5" s="3">
        <v>18</v>
      </c>
      <c r="H5" s="3">
        <v>1</v>
      </c>
      <c r="I5" s="14" t="s">
        <v>160</v>
      </c>
      <c r="J5" s="5">
        <v>0</v>
      </c>
    </row>
    <row r="6" spans="1:10" x14ac:dyDescent="0.25">
      <c r="A6" s="6">
        <v>2</v>
      </c>
      <c r="B6" s="6" t="s">
        <v>30</v>
      </c>
      <c r="C6" s="3">
        <v>16.5</v>
      </c>
      <c r="D6" s="5">
        <v>19.3</v>
      </c>
      <c r="E6" s="3">
        <v>7.9</v>
      </c>
      <c r="F6" s="5">
        <v>9.6</v>
      </c>
      <c r="G6" s="3">
        <v>16</v>
      </c>
      <c r="H6" s="3">
        <v>1</v>
      </c>
      <c r="I6" s="14" t="s">
        <v>161</v>
      </c>
      <c r="J6" s="5">
        <v>0</v>
      </c>
    </row>
    <row r="7" spans="1:10" x14ac:dyDescent="0.25">
      <c r="A7" s="6">
        <v>3</v>
      </c>
      <c r="B7" s="6" t="s">
        <v>30</v>
      </c>
      <c r="C7" s="3">
        <v>12</v>
      </c>
      <c r="D7" s="5">
        <v>21</v>
      </c>
      <c r="E7" s="4" t="s">
        <v>144</v>
      </c>
      <c r="F7" s="5">
        <v>10.1</v>
      </c>
      <c r="G7" s="3">
        <v>16</v>
      </c>
      <c r="H7" s="3">
        <v>1</v>
      </c>
      <c r="I7" s="5">
        <v>0</v>
      </c>
      <c r="J7" s="5">
        <v>0</v>
      </c>
    </row>
    <row r="8" spans="1:10" x14ac:dyDescent="0.25">
      <c r="A8" s="6">
        <v>4</v>
      </c>
      <c r="B8" s="6" t="s">
        <v>35</v>
      </c>
      <c r="C8" s="3">
        <v>13.8</v>
      </c>
      <c r="D8" s="5">
        <v>19</v>
      </c>
      <c r="E8" s="3">
        <v>8.9</v>
      </c>
      <c r="F8" s="5">
        <v>10</v>
      </c>
      <c r="G8" s="18">
        <v>21</v>
      </c>
      <c r="H8" s="3">
        <v>1</v>
      </c>
      <c r="I8" s="5">
        <v>0</v>
      </c>
      <c r="J8" s="5">
        <v>0</v>
      </c>
    </row>
    <row r="9" spans="1:10" x14ac:dyDescent="0.25">
      <c r="A9" s="6">
        <v>5</v>
      </c>
      <c r="B9" s="6" t="s">
        <v>30</v>
      </c>
      <c r="C9" s="3">
        <v>13.4</v>
      </c>
      <c r="D9" s="5">
        <v>15.9</v>
      </c>
      <c r="E9" s="3">
        <v>7.6</v>
      </c>
      <c r="F9" s="5">
        <v>10.4</v>
      </c>
      <c r="G9" s="3">
        <v>19</v>
      </c>
      <c r="H9" s="3">
        <v>1</v>
      </c>
      <c r="I9" s="14" t="s">
        <v>160</v>
      </c>
      <c r="J9" s="5">
        <v>0</v>
      </c>
    </row>
    <row r="10" spans="1:10" x14ac:dyDescent="0.25">
      <c r="A10" s="6">
        <v>6</v>
      </c>
      <c r="B10" s="6" t="s">
        <v>30</v>
      </c>
      <c r="C10" s="3">
        <v>11.3</v>
      </c>
      <c r="D10" s="5">
        <v>16.399999999999999</v>
      </c>
      <c r="E10" s="3">
        <v>9.1</v>
      </c>
      <c r="F10" s="5">
        <v>10.3</v>
      </c>
      <c r="G10" s="3">
        <v>16</v>
      </c>
      <c r="H10" s="3">
        <v>1</v>
      </c>
      <c r="I10" s="5">
        <v>0</v>
      </c>
      <c r="J10" s="5">
        <v>0</v>
      </c>
    </row>
    <row r="11" spans="1:10" x14ac:dyDescent="0.25">
      <c r="A11" s="6">
        <v>7</v>
      </c>
      <c r="B11" s="6" t="s">
        <v>30</v>
      </c>
      <c r="C11" s="3">
        <v>12</v>
      </c>
      <c r="D11" s="5">
        <v>20.6</v>
      </c>
      <c r="E11" s="3">
        <v>9.4</v>
      </c>
      <c r="F11" s="5">
        <v>10.1</v>
      </c>
      <c r="G11" s="3">
        <v>16</v>
      </c>
      <c r="H11" s="3">
        <v>1</v>
      </c>
      <c r="I11" s="5">
        <v>0</v>
      </c>
      <c r="J11" s="5">
        <v>0</v>
      </c>
    </row>
    <row r="12" spans="1:10" x14ac:dyDescent="0.25">
      <c r="A12" s="6">
        <v>8</v>
      </c>
      <c r="B12" s="6" t="s">
        <v>35</v>
      </c>
      <c r="C12" s="3">
        <v>16.100000000000001</v>
      </c>
      <c r="D12" s="5">
        <v>15.6</v>
      </c>
      <c r="E12" s="3">
        <v>10.199999999999999</v>
      </c>
      <c r="F12" s="5">
        <v>9.9</v>
      </c>
      <c r="G12" s="3">
        <v>18</v>
      </c>
      <c r="H12" s="3">
        <v>1</v>
      </c>
      <c r="I12" s="14" t="s">
        <v>162</v>
      </c>
      <c r="J12" s="5">
        <v>0</v>
      </c>
    </row>
    <row r="13" spans="1:10" x14ac:dyDescent="0.25">
      <c r="A13" s="6">
        <v>9</v>
      </c>
      <c r="B13" s="6" t="s">
        <v>30</v>
      </c>
      <c r="C13" s="3">
        <v>16.8</v>
      </c>
      <c r="D13" s="5">
        <v>18.100000000000001</v>
      </c>
      <c r="E13" s="3">
        <v>8.1999999999999993</v>
      </c>
      <c r="F13" s="5">
        <v>9.4</v>
      </c>
      <c r="G13" s="3">
        <v>13</v>
      </c>
      <c r="H13" s="3">
        <v>1</v>
      </c>
      <c r="I13" s="14" t="s">
        <v>160</v>
      </c>
      <c r="J13" s="5">
        <v>0</v>
      </c>
    </row>
    <row r="14" spans="1:10" x14ac:dyDescent="0.25">
      <c r="A14" s="6">
        <v>10</v>
      </c>
      <c r="B14" s="6" t="s">
        <v>30</v>
      </c>
      <c r="C14" s="3">
        <v>16.2</v>
      </c>
      <c r="D14" s="5">
        <v>23.8</v>
      </c>
      <c r="E14" s="3">
        <v>7.9</v>
      </c>
      <c r="F14" s="5">
        <v>15</v>
      </c>
      <c r="G14" s="3">
        <v>19</v>
      </c>
      <c r="H14" s="3">
        <v>1</v>
      </c>
      <c r="I14" s="14" t="s">
        <v>161</v>
      </c>
      <c r="J14" s="5">
        <v>0</v>
      </c>
    </row>
    <row r="15" spans="1:10" x14ac:dyDescent="0.25">
      <c r="A15" s="6">
        <v>11</v>
      </c>
      <c r="B15" s="6" t="s">
        <v>30</v>
      </c>
      <c r="C15" s="3">
        <v>17.8</v>
      </c>
      <c r="D15" s="5">
        <v>19.3</v>
      </c>
      <c r="E15" s="3">
        <v>10</v>
      </c>
      <c r="F15" s="5">
        <v>11.1</v>
      </c>
      <c r="G15" s="3">
        <v>14</v>
      </c>
      <c r="H15" s="3">
        <v>1</v>
      </c>
      <c r="I15" s="14" t="s">
        <v>161</v>
      </c>
      <c r="J15" s="5">
        <v>0</v>
      </c>
    </row>
    <row r="16" spans="1:10" x14ac:dyDescent="0.25">
      <c r="A16" s="6">
        <v>12</v>
      </c>
      <c r="B16" s="6" t="s">
        <v>35</v>
      </c>
      <c r="C16" s="3">
        <v>15.2</v>
      </c>
      <c r="D16" s="5">
        <v>26.9</v>
      </c>
      <c r="E16" s="3">
        <v>5.2</v>
      </c>
      <c r="F16" s="5">
        <v>12.3</v>
      </c>
      <c r="G16" s="3">
        <v>13</v>
      </c>
      <c r="H16" s="3">
        <v>1</v>
      </c>
      <c r="I16" s="14" t="s">
        <v>161</v>
      </c>
      <c r="J16" s="5">
        <v>0</v>
      </c>
    </row>
    <row r="17" spans="1:10" x14ac:dyDescent="0.25">
      <c r="A17" s="6">
        <v>13</v>
      </c>
      <c r="B17" s="6" t="s">
        <v>30</v>
      </c>
      <c r="C17" s="3">
        <v>15.7</v>
      </c>
      <c r="D17" s="5">
        <v>17.399999999999999</v>
      </c>
      <c r="E17" s="3">
        <v>5.6</v>
      </c>
      <c r="F17" s="5">
        <v>9.9</v>
      </c>
      <c r="G17" s="3">
        <v>12</v>
      </c>
      <c r="H17" s="3">
        <v>1</v>
      </c>
      <c r="I17" s="14" t="s">
        <v>161</v>
      </c>
      <c r="J17" s="5">
        <v>0</v>
      </c>
    </row>
    <row r="18" spans="1:10" x14ac:dyDescent="0.25">
      <c r="A18" s="6">
        <v>14</v>
      </c>
      <c r="B18" s="6" t="s">
        <v>30</v>
      </c>
      <c r="C18" s="3">
        <v>16.600000000000001</v>
      </c>
      <c r="D18" s="5">
        <v>17.899999999999999</v>
      </c>
      <c r="E18" s="3">
        <v>8.3000000000000007</v>
      </c>
      <c r="F18" s="5">
        <v>9.1</v>
      </c>
      <c r="G18" s="3">
        <v>12</v>
      </c>
      <c r="H18" s="3">
        <v>1</v>
      </c>
      <c r="I18" s="14" t="s">
        <v>161</v>
      </c>
      <c r="J18" s="5">
        <v>0</v>
      </c>
    </row>
    <row r="19" spans="1:10" x14ac:dyDescent="0.25">
      <c r="A19" s="6">
        <v>15</v>
      </c>
      <c r="B19" s="6" t="s">
        <v>35</v>
      </c>
      <c r="C19" s="3">
        <v>12.3</v>
      </c>
      <c r="D19" s="5">
        <v>18.5</v>
      </c>
      <c r="E19" s="3">
        <v>5.8</v>
      </c>
      <c r="F19" s="5">
        <v>13.2</v>
      </c>
      <c r="G19" s="3">
        <v>21</v>
      </c>
      <c r="H19" s="3">
        <v>1</v>
      </c>
      <c r="I19" s="14">
        <v>1</v>
      </c>
      <c r="J19" s="5">
        <v>0</v>
      </c>
    </row>
    <row r="20" spans="1:10" x14ac:dyDescent="0.25">
      <c r="A20" s="6">
        <v>16</v>
      </c>
      <c r="B20" s="6" t="s">
        <v>35</v>
      </c>
      <c r="C20" s="3">
        <v>15.9</v>
      </c>
      <c r="D20" s="5">
        <v>15.8</v>
      </c>
      <c r="E20" s="3">
        <v>8.8000000000000007</v>
      </c>
      <c r="F20" s="5">
        <v>9.5</v>
      </c>
      <c r="G20" s="3">
        <v>21</v>
      </c>
      <c r="H20" s="3">
        <v>1</v>
      </c>
      <c r="I20" s="14">
        <v>5</v>
      </c>
      <c r="J20" s="5">
        <v>0</v>
      </c>
    </row>
    <row r="21" spans="1:10" x14ac:dyDescent="0.25">
      <c r="A21" s="6">
        <v>17</v>
      </c>
      <c r="B21" s="6" t="s">
        <v>30</v>
      </c>
      <c r="C21" s="3">
        <v>16.8</v>
      </c>
      <c r="D21" s="5">
        <v>18.8</v>
      </c>
      <c r="E21" s="3">
        <v>10.4</v>
      </c>
      <c r="F21" s="5">
        <v>13.8</v>
      </c>
      <c r="G21" s="3">
        <v>13</v>
      </c>
      <c r="H21" s="3">
        <v>1</v>
      </c>
      <c r="I21" s="14">
        <v>0</v>
      </c>
      <c r="J21" s="5">
        <v>0</v>
      </c>
    </row>
    <row r="22" spans="1:10" x14ac:dyDescent="0.25">
      <c r="A22" s="6">
        <v>18</v>
      </c>
      <c r="B22" s="6" t="s">
        <v>30</v>
      </c>
      <c r="C22" s="3">
        <v>15.3</v>
      </c>
      <c r="D22" s="5">
        <v>17.399999999999999</v>
      </c>
      <c r="E22" s="3">
        <v>10.4</v>
      </c>
      <c r="F22" s="5">
        <v>11.3</v>
      </c>
      <c r="G22" s="18" t="s">
        <v>163</v>
      </c>
      <c r="H22" s="3">
        <v>1</v>
      </c>
      <c r="I22" s="14">
        <v>0</v>
      </c>
      <c r="J22" s="5">
        <v>0</v>
      </c>
    </row>
    <row r="23" spans="1:10" x14ac:dyDescent="0.25">
      <c r="A23" s="6">
        <v>19</v>
      </c>
      <c r="B23" s="6" t="s">
        <v>35</v>
      </c>
      <c r="C23" s="3">
        <v>13.7</v>
      </c>
      <c r="D23" s="5">
        <v>10.5</v>
      </c>
      <c r="E23" s="3">
        <v>8</v>
      </c>
      <c r="F23" s="5">
        <v>9.3000000000000007</v>
      </c>
      <c r="G23" s="18">
        <v>21</v>
      </c>
      <c r="H23" s="3">
        <v>1</v>
      </c>
      <c r="I23" s="14">
        <v>4</v>
      </c>
      <c r="J23" s="5">
        <v>0</v>
      </c>
    </row>
    <row r="24" spans="1:10" x14ac:dyDescent="0.25">
      <c r="A24" s="6">
        <v>20</v>
      </c>
      <c r="B24" s="6" t="s">
        <v>35</v>
      </c>
      <c r="C24" s="3">
        <v>13.6</v>
      </c>
      <c r="D24" s="5">
        <v>15.4</v>
      </c>
      <c r="E24" s="3">
        <v>17</v>
      </c>
      <c r="F24" s="5">
        <v>19.3</v>
      </c>
      <c r="G24" s="18">
        <v>19</v>
      </c>
      <c r="H24" s="3">
        <v>1</v>
      </c>
      <c r="I24" s="14">
        <v>1</v>
      </c>
      <c r="J24" s="5">
        <v>0</v>
      </c>
    </row>
    <row r="25" spans="1:10" x14ac:dyDescent="0.25">
      <c r="A25" s="6">
        <v>21</v>
      </c>
      <c r="B25" s="6" t="s">
        <v>35</v>
      </c>
      <c r="C25" s="3">
        <v>14.8</v>
      </c>
      <c r="D25" s="5">
        <v>16.7</v>
      </c>
      <c r="E25" s="3">
        <v>7.9</v>
      </c>
      <c r="F25" s="5">
        <v>13.2</v>
      </c>
      <c r="G25" s="18">
        <v>20</v>
      </c>
      <c r="H25" s="3">
        <v>1</v>
      </c>
      <c r="I25" s="14">
        <v>9</v>
      </c>
      <c r="J25" s="5">
        <v>1</v>
      </c>
    </row>
    <row r="26" spans="1:10" x14ac:dyDescent="0.25">
      <c r="A26" s="6">
        <v>22</v>
      </c>
      <c r="B26" s="6" t="s">
        <v>35</v>
      </c>
      <c r="C26" s="3">
        <v>9.1</v>
      </c>
      <c r="D26" s="5">
        <v>11.9</v>
      </c>
      <c r="E26" s="3">
        <v>8.8000000000000007</v>
      </c>
      <c r="F26" s="5">
        <v>9.1999999999999993</v>
      </c>
      <c r="G26" s="18">
        <v>20</v>
      </c>
      <c r="H26" s="3">
        <v>1</v>
      </c>
      <c r="I26" s="14">
        <v>8</v>
      </c>
      <c r="J26" s="5">
        <v>1</v>
      </c>
    </row>
    <row r="27" spans="1:10" x14ac:dyDescent="0.25">
      <c r="A27" s="6">
        <v>23</v>
      </c>
      <c r="B27" s="6" t="s">
        <v>30</v>
      </c>
      <c r="C27" s="3">
        <v>18.899999999999999</v>
      </c>
      <c r="D27" s="5">
        <v>20</v>
      </c>
      <c r="E27" s="3">
        <v>16.5</v>
      </c>
      <c r="F27" s="5">
        <v>17.399999999999999</v>
      </c>
      <c r="G27" s="18">
        <v>13</v>
      </c>
      <c r="H27" s="3">
        <v>1</v>
      </c>
      <c r="I27" s="14">
        <v>1</v>
      </c>
      <c r="J27" s="5">
        <v>0</v>
      </c>
    </row>
    <row r="28" spans="1:10" x14ac:dyDescent="0.25">
      <c r="A28" s="6">
        <v>24</v>
      </c>
      <c r="B28" s="6" t="s">
        <v>35</v>
      </c>
      <c r="C28" s="3">
        <v>15.8</v>
      </c>
      <c r="D28" s="5">
        <v>19.7</v>
      </c>
      <c r="E28" s="3">
        <v>13.5</v>
      </c>
      <c r="F28" s="5">
        <v>16.7</v>
      </c>
      <c r="G28" s="18">
        <v>12</v>
      </c>
      <c r="H28" s="3">
        <v>1</v>
      </c>
      <c r="I28" s="14">
        <v>1</v>
      </c>
      <c r="J28" s="5">
        <v>0</v>
      </c>
    </row>
    <row r="29" spans="1:10" x14ac:dyDescent="0.25">
      <c r="A29" s="6">
        <v>25</v>
      </c>
      <c r="B29" s="6" t="s">
        <v>30</v>
      </c>
      <c r="C29" s="3">
        <v>15.5</v>
      </c>
      <c r="D29" s="5">
        <v>17</v>
      </c>
      <c r="E29" s="3">
        <v>13.2</v>
      </c>
      <c r="F29" s="5">
        <v>14.8</v>
      </c>
      <c r="G29" s="18">
        <v>20</v>
      </c>
      <c r="H29" s="3">
        <v>1</v>
      </c>
      <c r="I29" s="14">
        <v>6</v>
      </c>
      <c r="J29" s="5">
        <v>0</v>
      </c>
    </row>
    <row r="30" spans="1:10" x14ac:dyDescent="0.25">
      <c r="A30" s="6">
        <v>26</v>
      </c>
      <c r="B30" s="6" t="s">
        <v>30</v>
      </c>
      <c r="C30" s="3">
        <v>19.5</v>
      </c>
      <c r="D30" s="5">
        <v>19.8</v>
      </c>
      <c r="E30" s="3">
        <v>16.899999999999999</v>
      </c>
      <c r="F30" s="5">
        <v>17.2</v>
      </c>
      <c r="G30" s="18">
        <v>16</v>
      </c>
      <c r="H30" s="3">
        <v>1</v>
      </c>
      <c r="I30" s="14">
        <v>3</v>
      </c>
      <c r="J30" s="5">
        <v>0</v>
      </c>
    </row>
    <row r="31" spans="1:10" x14ac:dyDescent="0.25">
      <c r="A31" s="6">
        <v>27</v>
      </c>
      <c r="B31" s="6" t="s">
        <v>30</v>
      </c>
      <c r="C31" s="3">
        <v>19.100000000000001</v>
      </c>
      <c r="D31" s="5">
        <v>20.2</v>
      </c>
      <c r="E31" s="3">
        <v>16.2</v>
      </c>
      <c r="F31" s="5">
        <v>17.399999999999999</v>
      </c>
      <c r="G31" s="18">
        <v>14</v>
      </c>
      <c r="H31" s="3">
        <v>1</v>
      </c>
      <c r="I31" s="14">
        <v>1</v>
      </c>
      <c r="J31" s="5">
        <v>0</v>
      </c>
    </row>
    <row r="32" spans="1:10" x14ac:dyDescent="0.25">
      <c r="A32" s="6">
        <v>28</v>
      </c>
      <c r="B32" s="6" t="s">
        <v>35</v>
      </c>
      <c r="C32" s="3">
        <v>17.600000000000001</v>
      </c>
      <c r="D32" s="5">
        <v>20.9</v>
      </c>
      <c r="E32" s="3">
        <v>15</v>
      </c>
      <c r="F32" s="5">
        <v>17.8</v>
      </c>
      <c r="G32" s="18">
        <v>15</v>
      </c>
      <c r="H32" s="3">
        <v>1</v>
      </c>
      <c r="I32" s="14">
        <v>2</v>
      </c>
      <c r="J32" s="5">
        <v>0</v>
      </c>
    </row>
    <row r="33" spans="1:10" x14ac:dyDescent="0.25">
      <c r="A33" s="6">
        <v>29</v>
      </c>
      <c r="B33" s="6" t="s">
        <v>35</v>
      </c>
      <c r="C33" s="3">
        <v>14.8</v>
      </c>
      <c r="D33" s="5">
        <v>20.7</v>
      </c>
      <c r="E33" s="3">
        <v>12.8</v>
      </c>
      <c r="F33" s="5">
        <v>17.7</v>
      </c>
      <c r="G33" s="18">
        <v>18</v>
      </c>
      <c r="H33" s="3">
        <v>1</v>
      </c>
      <c r="I33" s="14">
        <v>1</v>
      </c>
      <c r="J33" s="5">
        <v>0</v>
      </c>
    </row>
    <row r="34" spans="1:10" x14ac:dyDescent="0.25">
      <c r="A34" s="6">
        <v>30</v>
      </c>
      <c r="B34" s="6" t="s">
        <v>30</v>
      </c>
      <c r="C34" s="3">
        <v>16.5</v>
      </c>
      <c r="D34" s="5">
        <v>17.600000000000001</v>
      </c>
      <c r="E34" s="3">
        <v>14.4</v>
      </c>
      <c r="F34" s="5">
        <v>15.5</v>
      </c>
      <c r="G34" s="18">
        <v>20</v>
      </c>
      <c r="H34" s="3">
        <v>1</v>
      </c>
      <c r="I34" s="14">
        <v>8</v>
      </c>
      <c r="J34" s="5">
        <v>1</v>
      </c>
    </row>
    <row r="35" spans="1:10" x14ac:dyDescent="0.25">
      <c r="A35" s="6">
        <v>31</v>
      </c>
      <c r="B35" s="6" t="s">
        <v>30</v>
      </c>
      <c r="C35" s="3">
        <v>15.5</v>
      </c>
      <c r="D35" s="5">
        <v>16.8</v>
      </c>
      <c r="E35" s="3">
        <v>13.5</v>
      </c>
      <c r="F35" s="5">
        <v>14.6</v>
      </c>
      <c r="G35" s="18">
        <v>12</v>
      </c>
      <c r="H35" s="3">
        <v>1</v>
      </c>
      <c r="I35" s="14">
        <v>0</v>
      </c>
      <c r="J35" s="5">
        <v>0</v>
      </c>
    </row>
    <row r="36" spans="1:10" x14ac:dyDescent="0.25">
      <c r="A36" s="6">
        <v>32</v>
      </c>
      <c r="B36" s="6" t="s">
        <v>30</v>
      </c>
      <c r="C36" s="3">
        <v>16.399999999999999</v>
      </c>
      <c r="D36" s="5">
        <v>20.399999999999999</v>
      </c>
      <c r="E36" s="3">
        <v>13.8</v>
      </c>
      <c r="F36" s="5">
        <v>17.2</v>
      </c>
      <c r="G36" s="18">
        <v>15</v>
      </c>
      <c r="H36" s="3">
        <v>1</v>
      </c>
      <c r="I36" s="14">
        <v>0</v>
      </c>
      <c r="J36" s="5">
        <v>0</v>
      </c>
    </row>
    <row r="37" spans="1:10" x14ac:dyDescent="0.25">
      <c r="A37" s="6">
        <v>33</v>
      </c>
      <c r="B37" s="6" t="s">
        <v>30</v>
      </c>
      <c r="C37" s="3">
        <v>15.8</v>
      </c>
      <c r="D37" s="5">
        <v>17.5</v>
      </c>
      <c r="E37" s="3">
        <v>13.4</v>
      </c>
      <c r="F37" s="5">
        <v>14.9</v>
      </c>
      <c r="G37" s="18">
        <v>18</v>
      </c>
      <c r="H37" s="3">
        <v>1</v>
      </c>
      <c r="I37" s="14">
        <v>0</v>
      </c>
      <c r="J37" s="5">
        <v>0</v>
      </c>
    </row>
    <row r="38" spans="1:10" x14ac:dyDescent="0.25">
      <c r="A38" s="6">
        <v>34</v>
      </c>
      <c r="B38" s="6" t="s">
        <v>30</v>
      </c>
      <c r="C38" s="3">
        <v>10</v>
      </c>
      <c r="D38" s="5">
        <v>15.5</v>
      </c>
      <c r="E38" s="3">
        <v>7</v>
      </c>
      <c r="F38" s="5">
        <v>13.3</v>
      </c>
      <c r="G38" s="18">
        <v>21</v>
      </c>
      <c r="H38" s="3">
        <v>1</v>
      </c>
      <c r="I38" s="14">
        <v>10</v>
      </c>
      <c r="J38" s="5">
        <v>1</v>
      </c>
    </row>
    <row r="39" spans="1:10" x14ac:dyDescent="0.25">
      <c r="A39" s="6">
        <v>35</v>
      </c>
      <c r="B39" s="6" t="s">
        <v>30</v>
      </c>
      <c r="C39" s="4" t="s">
        <v>164</v>
      </c>
      <c r="D39" s="5">
        <v>18.600000000000001</v>
      </c>
      <c r="E39" s="3">
        <v>11.8</v>
      </c>
      <c r="F39" s="5">
        <v>14.1</v>
      </c>
      <c r="G39" s="18">
        <v>20</v>
      </c>
      <c r="H39" s="3">
        <v>1</v>
      </c>
      <c r="I39" s="14">
        <v>5</v>
      </c>
      <c r="J39" s="5">
        <v>0</v>
      </c>
    </row>
    <row r="40" spans="1:10" x14ac:dyDescent="0.25">
      <c r="A40" s="6">
        <v>36</v>
      </c>
      <c r="B40" s="6" t="s">
        <v>30</v>
      </c>
      <c r="C40" s="4" t="s">
        <v>165</v>
      </c>
      <c r="D40" s="5">
        <v>16</v>
      </c>
      <c r="E40" s="3">
        <v>10.199999999999999</v>
      </c>
      <c r="F40" s="5">
        <v>13.9</v>
      </c>
      <c r="G40" s="18">
        <v>20</v>
      </c>
      <c r="H40" s="3">
        <v>1</v>
      </c>
      <c r="I40" s="14">
        <v>0</v>
      </c>
      <c r="J40" s="5">
        <v>0</v>
      </c>
    </row>
    <row r="42" spans="1:10" x14ac:dyDescent="0.25">
      <c r="A42" s="17" t="s">
        <v>66</v>
      </c>
    </row>
    <row r="43" spans="1:10" x14ac:dyDescent="0.25">
      <c r="A43" s="17" t="s">
        <v>67</v>
      </c>
    </row>
    <row r="44" spans="1:10" x14ac:dyDescent="0.25">
      <c r="A44" s="17" t="s">
        <v>68</v>
      </c>
    </row>
  </sheetData>
  <mergeCells count="6">
    <mergeCell ref="A1:J1"/>
    <mergeCell ref="C2:F2"/>
    <mergeCell ref="G2:J2"/>
    <mergeCell ref="C3:D3"/>
    <mergeCell ref="E3:F3"/>
    <mergeCell ref="G3:J3"/>
  </mergeCells>
  <pageMargins left="0.7" right="0.7" top="0.75" bottom="0.75" header="0.3" footer="0.3"/>
  <extLst>
    <ext xmlns:x14="http://schemas.microsoft.com/office/spreadsheetml/2009/9/main" uri="{05C60535-1F16-4fd2-B633-F4F36F0B64E0}">
      <x14:sparklineGroups xmlns:xm="http://schemas.microsoft.com/office/excel/2006/main">
        <x14:sparklineGroup type="column" displayEmptyCellsAs="gap" xr2:uid="{81D666CF-C8C8-49B1-B95E-BB50A8871433}">
          <x14:colorSeries rgb="FF376092"/>
          <x14:colorNegative rgb="FFD00000"/>
          <x14:colorAxis rgb="FF000000"/>
          <x14:colorMarkers rgb="FFD00000"/>
          <x14:colorFirst rgb="FFD00000"/>
          <x14:colorLast rgb="FFD00000"/>
          <x14:colorHigh rgb="FFD00000"/>
          <x14:colorLow rgb="FFD00000"/>
          <x14:sparklines>
            <x14:sparkline>
              <xm:f>Hoja2!A4:A4</xm:f>
              <xm:sqref>C4</xm:sqref>
            </x14:sparkline>
          </x14:sparklines>
        </x14:sparklineGroup>
      </x14:sparklineGroup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0A1E936C8AF7044C86AE97AE2115912D" ma:contentTypeVersion="6" ma:contentTypeDescription="Crear nuevo documento." ma:contentTypeScope="" ma:versionID="414b42a92708ce979a1ec2407dca999c">
  <xsd:schema xmlns:xsd="http://www.w3.org/2001/XMLSchema" xmlns:xs="http://www.w3.org/2001/XMLSchema" xmlns:p="http://schemas.microsoft.com/office/2006/metadata/properties" xmlns:ns2="ddef2f66-d908-4f14-aa85-475cb995111f" xmlns:ns3="61ece0ef-1fda-4f3b-b3ef-00593a9006e7" targetNamespace="http://schemas.microsoft.com/office/2006/metadata/properties" ma:root="true" ma:fieldsID="5995e4cce326cb69ced772f7d9466130" ns2:_="" ns3:_="">
    <xsd:import namespace="ddef2f66-d908-4f14-aa85-475cb995111f"/>
    <xsd:import namespace="61ece0ef-1fda-4f3b-b3ef-00593a9006e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ef2f66-d908-4f14-aa85-475cb995111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1ece0ef-1fda-4f3b-b3ef-00593a9006e7"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B9C3CB2-CB11-4474-89B2-866F72468919}">
  <ds:schemaRefs>
    <ds:schemaRef ds:uri="http://schemas.microsoft.com/sharepoint/v3/contenttype/forms"/>
  </ds:schemaRefs>
</ds:datastoreItem>
</file>

<file path=customXml/itemProps2.xml><?xml version="1.0" encoding="utf-8"?>
<ds:datastoreItem xmlns:ds="http://schemas.openxmlformats.org/officeDocument/2006/customXml" ds:itemID="{EB617692-98AD-477F-995A-5D445E852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ef2f66-d908-4f14-aa85-475cb995111f"/>
    <ds:schemaRef ds:uri="61ece0ef-1fda-4f3b-b3ef-00593a9006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1694F90-092C-4BA2-9977-FD7640185602}">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BASE41 (2)</vt:lpstr>
      <vt:lpstr>RESULTADOS</vt:lpstr>
      <vt:lpstr>BASE41</vt:lpstr>
      <vt:lpstr>base</vt:lpstr>
      <vt:lpstr>Hoja2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Raquel Espinola Pesante</dc:creator>
  <cp:keywords/>
  <dc:description/>
  <cp:lastModifiedBy>Mayra Fernanda Garcia Enriquez</cp:lastModifiedBy>
  <cp:revision/>
  <dcterms:created xsi:type="dcterms:W3CDTF">2024-03-08T06:16:19Z</dcterms:created>
  <dcterms:modified xsi:type="dcterms:W3CDTF">2024-11-22T06:00:36Z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0x0101000A1E936C8AF7044C86AE97AE2115912D</vt:lpwstr>
  </property>
</Properties>
</file>