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julia\OneDrive\Imágenes\UNICOC\PRIMER SEMESTRE\investigacion\202402_PR_CarpetaFormatosFinales _Fibras de Polietileno\202402_PR_BD_Fibras de Polietileno\"/>
    </mc:Choice>
  </mc:AlternateContent>
  <xr:revisionPtr revIDLastSave="0" documentId="8_{76E66B7A-3F40-4AE9-889B-189B1009D108}" xr6:coauthVersionLast="47" xr6:coauthVersionMax="47" xr10:uidLastSave="{00000000-0000-0000-0000-000000000000}"/>
  <bookViews>
    <workbookView xWindow="-120" yWindow="-120" windowWidth="20730" windowHeight="11040" xr2:uid="{58987290-159D-485E-B48F-B042855B4E61}"/>
  </bookViews>
  <sheets>
    <sheet name="resultados" sheetId="4" r:id="rId1"/>
    <sheet name="objetivos" sheetId="5" r:id="rId2"/>
    <sheet name="Hoja1" sheetId="3" r:id="rId3"/>
    <sheet name="Grupo 1" sheetId="1" r:id="rId4"/>
    <sheet name="Grupo 2" sheetId="2" r:id="rId5"/>
  </sheets>
  <externalReferences>
    <externalReference r:id="rId6"/>
  </externalReferences>
  <definedNames>
    <definedName name="_xlchart.v1.0" hidden="1">Hoja1!$BO$4</definedName>
    <definedName name="_xlchart.v1.1" hidden="1">Hoja1!$BO$5:$BO$14</definedName>
    <definedName name="_xlchart.v1.10" hidden="1">Hoja1!$BN$4</definedName>
    <definedName name="_xlchart.v1.11" hidden="1">Hoja1!$BN$5:$BN$14</definedName>
    <definedName name="_xlchart.v1.12" hidden="1">Hoja1!$BO$4</definedName>
    <definedName name="_xlchart.v1.13" hidden="1">Hoja1!$BO$5:$BO$14</definedName>
    <definedName name="_xlchart.v1.14" hidden="1">Hoja1!$BP$4</definedName>
    <definedName name="_xlchart.v1.15" hidden="1">Hoja1!$BP$5:$BP$14</definedName>
    <definedName name="_xlchart.v1.16" hidden="1">Hoja1!$BQ$4</definedName>
    <definedName name="_xlchart.v1.17" hidden="1">Hoja1!$BQ$5:$BQ$14</definedName>
    <definedName name="_xlchart.v1.18" hidden="1">Hoja1!$BL$4</definedName>
    <definedName name="_xlchart.v1.19" hidden="1">Hoja1!$BL$5:$BL$14</definedName>
    <definedName name="_xlchart.v1.2" hidden="1">Hoja1!$BP$4</definedName>
    <definedName name="_xlchart.v1.20" hidden="1">Hoja1!$BM$4</definedName>
    <definedName name="_xlchart.v1.21" hidden="1">Hoja1!$BM$5:$BM$14</definedName>
    <definedName name="_xlchart.v1.22" hidden="1">Hoja1!$BN$4</definedName>
    <definedName name="_xlchart.v1.23" hidden="1">Hoja1!$BN$5:$BN$14</definedName>
    <definedName name="_xlchart.v1.3" hidden="1">Hoja1!$BP$5:$BP$14</definedName>
    <definedName name="_xlchart.v1.4" hidden="1">Hoja1!$BQ$4</definedName>
    <definedName name="_xlchart.v1.5" hidden="1">Hoja1!$BQ$5:$BQ$14</definedName>
    <definedName name="_xlchart.v1.6" hidden="1">Hoja1!$BL$4</definedName>
    <definedName name="_xlchart.v1.7" hidden="1">Hoja1!$BL$5:$BL$14</definedName>
    <definedName name="_xlchart.v1.8" hidden="1">Hoja1!$BM$4</definedName>
    <definedName name="_xlchart.v1.9" hidden="1">Hoja1!$BM$5:$BM$14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2" l="1"/>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32" i="1"/>
  <c r="E31" i="1"/>
  <c r="E30" i="1"/>
  <c r="E29" i="1"/>
  <c r="E28" i="1"/>
  <c r="E27" i="1"/>
  <c r="E26" i="1"/>
  <c r="E25" i="1"/>
  <c r="E24" i="1"/>
  <c r="E23" i="1"/>
  <c r="E4" i="1"/>
  <c r="E5" i="1"/>
  <c r="E6" i="1"/>
  <c r="E7" i="1"/>
  <c r="E8" i="1"/>
  <c r="E9" i="1"/>
  <c r="E10" i="1"/>
  <c r="E11" i="1"/>
  <c r="E12" i="1"/>
  <c r="E13" i="1"/>
  <c r="E14" i="1"/>
  <c r="E15" i="1"/>
  <c r="E16" i="1"/>
  <c r="E17" i="1"/>
  <c r="E18" i="1"/>
  <c r="E19" i="1"/>
  <c r="E20" i="1"/>
  <c r="E21" i="1"/>
  <c r="E22" i="1"/>
  <c r="E3" i="1"/>
  <c r="F4" i="3" a="1"/>
  <c r="F4" i="3" l="1"/>
  <c r="H5" i="3"/>
  <c r="J6" i="3"/>
  <c r="AF64" i="3" s="1"/>
  <c r="F8" i="3"/>
  <c r="G67" i="3" s="1"/>
  <c r="H9" i="3"/>
  <c r="I68" i="3" s="1"/>
  <c r="J10" i="3"/>
  <c r="AF68" i="3" s="1"/>
  <c r="F12" i="3"/>
  <c r="G71" i="3" s="1"/>
  <c r="H13" i="3"/>
  <c r="I72" i="3" s="1"/>
  <c r="J14" i="3"/>
  <c r="AF72" i="3" s="1"/>
  <c r="K6" i="3"/>
  <c r="AG64" i="3" s="1"/>
  <c r="I9" i="3"/>
  <c r="AE67" i="3" s="1"/>
  <c r="G12" i="3"/>
  <c r="H71" i="3" s="1"/>
  <c r="K14" i="3"/>
  <c r="G14" i="3"/>
  <c r="H73" i="3" s="1"/>
  <c r="G4" i="3"/>
  <c r="I5" i="3"/>
  <c r="G8" i="3"/>
  <c r="H67" i="3" s="1"/>
  <c r="K10" i="3"/>
  <c r="AG68" i="3" s="1"/>
  <c r="I13" i="3"/>
  <c r="AE71" i="3" s="1"/>
  <c r="G13" i="3"/>
  <c r="H72" i="3" s="1"/>
  <c r="H4" i="3"/>
  <c r="J5" i="3"/>
  <c r="F7" i="3"/>
  <c r="G66" i="3" s="1"/>
  <c r="H8" i="3"/>
  <c r="I67" i="3" s="1"/>
  <c r="J9" i="3"/>
  <c r="AF67" i="3" s="1"/>
  <c r="F11" i="3"/>
  <c r="G70" i="3" s="1"/>
  <c r="H12" i="3"/>
  <c r="I71" i="3" s="1"/>
  <c r="J13" i="3"/>
  <c r="AF71" i="3" s="1"/>
  <c r="I14" i="3"/>
  <c r="AE72" i="3" s="1"/>
  <c r="I4" i="3"/>
  <c r="K5" i="3"/>
  <c r="G7" i="3"/>
  <c r="H66" i="3" s="1"/>
  <c r="I8" i="3"/>
  <c r="AE66" i="3" s="1"/>
  <c r="K9" i="3"/>
  <c r="AG67" i="3" s="1"/>
  <c r="G11" i="3"/>
  <c r="H70" i="3" s="1"/>
  <c r="I12" i="3"/>
  <c r="AE70" i="3" s="1"/>
  <c r="K13" i="3"/>
  <c r="AG71" i="3" s="1"/>
  <c r="K11" i="3"/>
  <c r="AG69" i="3" s="1"/>
  <c r="J4" i="3"/>
  <c r="F6" i="3"/>
  <c r="G65" i="3" s="1"/>
  <c r="H7" i="3"/>
  <c r="I66" i="3" s="1"/>
  <c r="J8" i="3"/>
  <c r="AF66" i="3" s="1"/>
  <c r="F10" i="3"/>
  <c r="G69" i="3" s="1"/>
  <c r="H11" i="3"/>
  <c r="I70" i="3" s="1"/>
  <c r="J12" i="3"/>
  <c r="AF70" i="3" s="1"/>
  <c r="F14" i="3"/>
  <c r="G73" i="3" s="1"/>
  <c r="G10" i="3"/>
  <c r="H69" i="3" s="1"/>
  <c r="K4" i="3"/>
  <c r="G6" i="3"/>
  <c r="H65" i="3" s="1"/>
  <c r="I7" i="3"/>
  <c r="AE65" i="3" s="1"/>
  <c r="K8" i="3"/>
  <c r="AG66" i="3" s="1"/>
  <c r="I11" i="3"/>
  <c r="AE69" i="3" s="1"/>
  <c r="K12" i="3"/>
  <c r="AG70" i="3" s="1"/>
  <c r="F5" i="3"/>
  <c r="H6" i="3"/>
  <c r="I65" i="3" s="1"/>
  <c r="J7" i="3"/>
  <c r="AF65" i="3" s="1"/>
  <c r="F9" i="3"/>
  <c r="G68" i="3" s="1"/>
  <c r="H10" i="3"/>
  <c r="I69" i="3" s="1"/>
  <c r="J11" i="3"/>
  <c r="AF69" i="3" s="1"/>
  <c r="F13" i="3"/>
  <c r="G72" i="3" s="1"/>
  <c r="H14" i="3"/>
  <c r="G5" i="3"/>
  <c r="I6" i="3"/>
  <c r="AE64" i="3" s="1"/>
  <c r="AH64" i="3" s="1"/>
  <c r="K7" i="3"/>
  <c r="AG65" i="3" s="1"/>
  <c r="G9" i="3"/>
  <c r="H68" i="3" s="1"/>
  <c r="I10" i="3"/>
  <c r="AE68" i="3" s="1"/>
  <c r="J86" i="3"/>
  <c r="J87" i="3"/>
  <c r="J88" i="3"/>
  <c r="G95" i="3"/>
  <c r="G96" i="3"/>
  <c r="G97" i="3"/>
  <c r="AU65" i="3"/>
  <c r="W66" i="3"/>
  <c r="G86" i="3"/>
  <c r="G87" i="3"/>
  <c r="G88" i="3"/>
  <c r="V66" i="3"/>
  <c r="AT65" i="3"/>
  <c r="J46" i="3"/>
  <c r="R30" i="3"/>
  <c r="R29" i="3"/>
  <c r="K45" i="3"/>
  <c r="S36" i="3"/>
  <c r="S37" i="3"/>
  <c r="L46" i="3"/>
  <c r="T29" i="3"/>
  <c r="T30" i="3"/>
  <c r="I46" i="3"/>
  <c r="Q30" i="3"/>
  <c r="Q29" i="3"/>
  <c r="X8" i="3"/>
  <c r="Y8" i="3"/>
  <c r="Z8" i="3"/>
  <c r="AA8" i="3"/>
  <c r="AB8" i="3"/>
  <c r="AC8" i="3"/>
  <c r="AR6" i="3"/>
  <c r="AR7" i="3"/>
  <c r="AR8" i="3"/>
  <c r="AR9" i="3"/>
  <c r="AR10" i="3"/>
  <c r="AR11" i="3"/>
  <c r="L45" i="3"/>
  <c r="T36" i="3"/>
  <c r="T37" i="3"/>
  <c r="J45" i="3"/>
  <c r="R37" i="3"/>
  <c r="R36" i="3"/>
  <c r="I45" i="3"/>
  <c r="Q37" i="3"/>
  <c r="Q36" i="3"/>
  <c r="H45" i="3"/>
  <c r="P37" i="3"/>
  <c r="P36" i="3"/>
  <c r="K46" i="3"/>
  <c r="S29" i="3"/>
  <c r="S30" i="3"/>
  <c r="G45" i="3"/>
  <c r="O36" i="3"/>
  <c r="O37" i="3"/>
  <c r="G46" i="3"/>
  <c r="O29" i="3"/>
  <c r="O30" i="3"/>
  <c r="H46" i="3"/>
  <c r="P30" i="3"/>
  <c r="P29" i="3"/>
  <c r="J69" i="3" l="1"/>
  <c r="AH66" i="3"/>
  <c r="AG62" i="3"/>
  <c r="F121" i="3"/>
  <c r="J65" i="3"/>
  <c r="I119" i="3"/>
  <c r="J119" i="3"/>
  <c r="H119" i="3"/>
  <c r="G119" i="3"/>
  <c r="AE63" i="3"/>
  <c r="AS62" i="3"/>
  <c r="K119" i="3"/>
  <c r="H127" i="3"/>
  <c r="G127" i="3"/>
  <c r="AF62" i="3"/>
  <c r="F120" i="3"/>
  <c r="AS64" i="3"/>
  <c r="K121" i="3"/>
  <c r="J121" i="3"/>
  <c r="G121" i="3"/>
  <c r="I121" i="3"/>
  <c r="AG63" i="3"/>
  <c r="H121" i="3"/>
  <c r="J66" i="3"/>
  <c r="F105" i="3"/>
  <c r="H63" i="3"/>
  <c r="J71" i="3"/>
  <c r="G112" i="3"/>
  <c r="J104" i="3"/>
  <c r="G64" i="3"/>
  <c r="H104" i="3"/>
  <c r="U63" i="3"/>
  <c r="G104" i="3"/>
  <c r="I104" i="3"/>
  <c r="H112" i="3"/>
  <c r="K104" i="3"/>
  <c r="I73" i="3"/>
  <c r="J73" i="3" s="1"/>
  <c r="AG72" i="3"/>
  <c r="AH72" i="3" s="1"/>
  <c r="J68" i="3"/>
  <c r="K120" i="3"/>
  <c r="J120" i="3"/>
  <c r="I120" i="3"/>
  <c r="AS63" i="3"/>
  <c r="AT70" i="3" s="1"/>
  <c r="H120" i="3"/>
  <c r="AF63" i="3"/>
  <c r="G120" i="3"/>
  <c r="F106" i="3"/>
  <c r="I63" i="3"/>
  <c r="J72" i="3"/>
  <c r="AH69" i="3"/>
  <c r="AH70" i="3"/>
  <c r="J67" i="3"/>
  <c r="K105" i="3"/>
  <c r="U64" i="3"/>
  <c r="J105" i="3"/>
  <c r="H64" i="3"/>
  <c r="I105" i="3"/>
  <c r="H105" i="3"/>
  <c r="G105" i="3"/>
  <c r="AE62" i="3"/>
  <c r="F119" i="3"/>
  <c r="AR62" i="3" a="1"/>
  <c r="AH71" i="3"/>
  <c r="AH67" i="3"/>
  <c r="AH68" i="3"/>
  <c r="AH65" i="3"/>
  <c r="J70" i="3"/>
  <c r="K106" i="3"/>
  <c r="I64" i="3"/>
  <c r="J106" i="3"/>
  <c r="U65" i="3"/>
  <c r="I106" i="3"/>
  <c r="H106" i="3"/>
  <c r="G106" i="3"/>
  <c r="G63" i="3"/>
  <c r="T63" i="3" a="1"/>
  <c r="F104" i="3"/>
  <c r="P32" i="3"/>
  <c r="O32" i="3"/>
  <c r="O39" i="3"/>
  <c r="S32" i="3"/>
  <c r="P39" i="3"/>
  <c r="Q39" i="3"/>
  <c r="R39" i="3"/>
  <c r="T39" i="3"/>
  <c r="Q32" i="3"/>
  <c r="T32" i="3"/>
  <c r="S39" i="3"/>
  <c r="R32" i="3"/>
  <c r="Y6" i="3"/>
  <c r="M9" i="3"/>
  <c r="P28" i="3"/>
  <c r="AQ7" i="3"/>
  <c r="H28" i="3"/>
  <c r="AF7" i="3"/>
  <c r="H29" i="3"/>
  <c r="H44" i="3"/>
  <c r="N9" i="3"/>
  <c r="H38" i="3"/>
  <c r="AS7" i="3"/>
  <c r="AT7" i="3" s="1"/>
  <c r="H34" i="3"/>
  <c r="H41" i="3"/>
  <c r="AI7" i="3"/>
  <c r="H31" i="3"/>
  <c r="H36" i="3"/>
  <c r="H43" i="3"/>
  <c r="AG7" i="3"/>
  <c r="H33" i="3"/>
  <c r="H40" i="3"/>
  <c r="R9" i="3"/>
  <c r="P9" i="3"/>
  <c r="H30" i="3"/>
  <c r="Q9" i="3"/>
  <c r="H35" i="3"/>
  <c r="H42" i="3"/>
  <c r="Y7" i="3"/>
  <c r="H32" i="3"/>
  <c r="H39" i="3"/>
  <c r="Y9" i="3"/>
  <c r="Y10" i="3" s="1"/>
  <c r="O9" i="3"/>
  <c r="AH7" i="3"/>
  <c r="G41" i="3"/>
  <c r="G32" i="3"/>
  <c r="N19" i="3"/>
  <c r="R8" i="3"/>
  <c r="G40" i="3"/>
  <c r="G31" i="3"/>
  <c r="X9" i="3"/>
  <c r="G38" i="3"/>
  <c r="G29" i="3"/>
  <c r="Q8" i="3"/>
  <c r="G36" i="3"/>
  <c r="P8" i="3"/>
  <c r="G44" i="3"/>
  <c r="G35" i="3"/>
  <c r="AS6" i="3"/>
  <c r="AI6" i="3"/>
  <c r="O8" i="3"/>
  <c r="N8" i="3"/>
  <c r="G43" i="3"/>
  <c r="G34" i="3"/>
  <c r="AH6" i="3"/>
  <c r="G30" i="3"/>
  <c r="G42" i="3"/>
  <c r="G33" i="3"/>
  <c r="AG6" i="3"/>
  <c r="X7" i="3"/>
  <c r="O19" i="3"/>
  <c r="G39" i="3"/>
  <c r="AA6" i="3"/>
  <c r="R28" i="3"/>
  <c r="AF9" i="3"/>
  <c r="AQ9" i="3"/>
  <c r="M11" i="3"/>
  <c r="J28" i="3"/>
  <c r="K30" i="3"/>
  <c r="K35" i="3"/>
  <c r="K42" i="3"/>
  <c r="AS10" i="3"/>
  <c r="AT10" i="3" s="1"/>
  <c r="K32" i="3"/>
  <c r="K29" i="3"/>
  <c r="K44" i="3"/>
  <c r="Q12" i="3"/>
  <c r="K34" i="3"/>
  <c r="K41" i="3"/>
  <c r="P12" i="3"/>
  <c r="N12" i="3"/>
  <c r="K39" i="3"/>
  <c r="R12" i="3"/>
  <c r="K31" i="3"/>
  <c r="K38" i="3"/>
  <c r="AI10" i="3"/>
  <c r="AB7" i="3"/>
  <c r="O12" i="3"/>
  <c r="AB9" i="3"/>
  <c r="AB10" i="3" s="1"/>
  <c r="K36" i="3"/>
  <c r="K43" i="3"/>
  <c r="AH10" i="3"/>
  <c r="K33" i="3"/>
  <c r="K40" i="3"/>
  <c r="AG10" i="3"/>
  <c r="AQ8" i="3"/>
  <c r="AF8" i="3"/>
  <c r="Z6" i="3"/>
  <c r="Q28" i="3"/>
  <c r="M10" i="3"/>
  <c r="I28" i="3"/>
  <c r="I32" i="3"/>
  <c r="I39" i="3"/>
  <c r="Z9" i="3"/>
  <c r="Z10" i="3" s="1"/>
  <c r="P10" i="3"/>
  <c r="I34" i="3"/>
  <c r="I29" i="3"/>
  <c r="I44" i="3"/>
  <c r="O10" i="3"/>
  <c r="I31" i="3"/>
  <c r="I38" i="3"/>
  <c r="I37" i="3" s="1"/>
  <c r="Z7" i="3"/>
  <c r="I36" i="3"/>
  <c r="I43" i="3"/>
  <c r="I33" i="3"/>
  <c r="I40" i="3"/>
  <c r="AI8" i="3"/>
  <c r="R10" i="3"/>
  <c r="I41" i="3"/>
  <c r="N10" i="3"/>
  <c r="I30" i="3"/>
  <c r="AH8" i="3"/>
  <c r="I35" i="3"/>
  <c r="I42" i="3"/>
  <c r="AS8" i="3"/>
  <c r="AT8" i="3" s="1"/>
  <c r="AG8" i="3"/>
  <c r="Q10" i="3"/>
  <c r="L33" i="3"/>
  <c r="L40" i="3"/>
  <c r="N13" i="3"/>
  <c r="AH11" i="3"/>
  <c r="L30" i="3"/>
  <c r="AI11" i="3"/>
  <c r="L32" i="3"/>
  <c r="L39" i="3"/>
  <c r="AG11" i="3"/>
  <c r="AC9" i="3"/>
  <c r="AC10" i="3" s="1"/>
  <c r="L29" i="3"/>
  <c r="L44" i="3"/>
  <c r="R13" i="3"/>
  <c r="L34" i="3"/>
  <c r="L41" i="3"/>
  <c r="Q13" i="3"/>
  <c r="AC7" i="3"/>
  <c r="L31" i="3"/>
  <c r="L38" i="3"/>
  <c r="AS11" i="3"/>
  <c r="AT11" i="3" s="1"/>
  <c r="P13" i="3"/>
  <c r="L36" i="3"/>
  <c r="L43" i="3"/>
  <c r="O13" i="3"/>
  <c r="L35" i="3"/>
  <c r="L42" i="3"/>
  <c r="AF6" i="3"/>
  <c r="G28" i="3"/>
  <c r="X6" i="3"/>
  <c r="AQ6" i="3"/>
  <c r="O28" i="3"/>
  <c r="M8" i="3"/>
  <c r="AF10" i="3"/>
  <c r="AB6" i="3"/>
  <c r="AQ10" i="3"/>
  <c r="S28" i="3"/>
  <c r="K28" i="3"/>
  <c r="M12" i="3"/>
  <c r="L28" i="3"/>
  <c r="M13" i="3"/>
  <c r="AF11" i="3"/>
  <c r="AC6" i="3"/>
  <c r="T28" i="3"/>
  <c r="AQ11" i="3"/>
  <c r="J35" i="3"/>
  <c r="J42" i="3"/>
  <c r="R11" i="3"/>
  <c r="J44" i="3"/>
  <c r="J32" i="3"/>
  <c r="J39" i="3"/>
  <c r="AI9" i="3"/>
  <c r="AA9" i="3"/>
  <c r="AA10" i="3" s="1"/>
  <c r="Q11" i="3"/>
  <c r="J29" i="3"/>
  <c r="J34" i="3"/>
  <c r="J41" i="3"/>
  <c r="AG9" i="3"/>
  <c r="O11" i="3"/>
  <c r="J31" i="3"/>
  <c r="J38" i="3"/>
  <c r="AS9" i="3"/>
  <c r="AT9" i="3" s="1"/>
  <c r="AA7" i="3"/>
  <c r="N11" i="3"/>
  <c r="AH9" i="3"/>
  <c r="J36" i="3"/>
  <c r="J43" i="3"/>
  <c r="J33" i="3"/>
  <c r="J40" i="3"/>
  <c r="J30" i="3"/>
  <c r="P11" i="3"/>
  <c r="AV65" i="3"/>
  <c r="G77" i="3"/>
  <c r="G78" i="3"/>
  <c r="AE76" i="3"/>
  <c r="AE77" i="3"/>
  <c r="X66" i="3"/>
  <c r="AU12" i="3"/>
  <c r="K37" i="3" l="1"/>
  <c r="H125" i="3"/>
  <c r="AH29" i="3"/>
  <c r="H110" i="3"/>
  <c r="H111" i="3" s="1"/>
  <c r="I111" i="3" s="1"/>
  <c r="N110" i="3" s="1"/>
  <c r="Y66" i="3"/>
  <c r="AW65" i="3"/>
  <c r="AV70" i="3" s="1"/>
  <c r="J37" i="3"/>
  <c r="AI12" i="3"/>
  <c r="G37" i="3"/>
  <c r="AR63" i="3"/>
  <c r="AR62" i="3"/>
  <c r="AR64" i="3"/>
  <c r="V71" i="3"/>
  <c r="V70" i="3"/>
  <c r="V69" i="3"/>
  <c r="I74" i="3"/>
  <c r="I75" i="3"/>
  <c r="T63" i="3"/>
  <c r="T65" i="3"/>
  <c r="T64" i="3"/>
  <c r="AF74" i="3"/>
  <c r="AF73" i="3"/>
  <c r="M68" i="3"/>
  <c r="G75" i="3"/>
  <c r="N66" i="3"/>
  <c r="J64" i="3"/>
  <c r="N65" i="3"/>
  <c r="G74" i="3"/>
  <c r="AG73" i="3"/>
  <c r="AG74" i="3"/>
  <c r="I127" i="3"/>
  <c r="H126" i="3"/>
  <c r="AU70" i="3"/>
  <c r="G111" i="3"/>
  <c r="G110" i="3" s="1"/>
  <c r="I112" i="3"/>
  <c r="G126" i="3"/>
  <c r="G125" i="3" s="1"/>
  <c r="AT69" i="3"/>
  <c r="AT68" i="3"/>
  <c r="H74" i="3"/>
  <c r="H75" i="3"/>
  <c r="AL65" i="3"/>
  <c r="AL64" i="3"/>
  <c r="AE73" i="3"/>
  <c r="AH63" i="3"/>
  <c r="AK67" i="3"/>
  <c r="AE74" i="3"/>
  <c r="AS27" i="3"/>
  <c r="AS28" i="3"/>
  <c r="AS23" i="3"/>
  <c r="AS21" i="3"/>
  <c r="AS22" i="3"/>
  <c r="AS20" i="3"/>
  <c r="AS25" i="3"/>
  <c r="AS26" i="3"/>
  <c r="AS24" i="3"/>
  <c r="AS29" i="3"/>
  <c r="AH25" i="3"/>
  <c r="AH26" i="3"/>
  <c r="AH24" i="3"/>
  <c r="AD13" i="3"/>
  <c r="AH19" i="3"/>
  <c r="AH17" i="3"/>
  <c r="AH15" i="3"/>
  <c r="AH18" i="3"/>
  <c r="AH16" i="3"/>
  <c r="AR27" i="3"/>
  <c r="AR25" i="3"/>
  <c r="AQ29" i="3"/>
  <c r="AR22" i="3"/>
  <c r="AR18" i="3"/>
  <c r="AG24" i="3"/>
  <c r="AF28" i="3"/>
  <c r="AG21" i="3"/>
  <c r="AG17" i="3"/>
  <c r="AF27" i="3"/>
  <c r="AS12" i="3"/>
  <c r="AD9" i="3"/>
  <c r="AT6" i="3"/>
  <c r="AR17" i="3"/>
  <c r="AQ27" i="3"/>
  <c r="AR24" i="3"/>
  <c r="AQ28" i="3"/>
  <c r="AR21" i="3"/>
  <c r="AF18" i="3"/>
  <c r="AF16" i="3"/>
  <c r="AF19" i="3"/>
  <c r="AF17" i="3"/>
  <c r="AF15" i="3"/>
  <c r="L37" i="3"/>
  <c r="AG20" i="3"/>
  <c r="AG16" i="3"/>
  <c r="AF26" i="3"/>
  <c r="AF24" i="3"/>
  <c r="AF25" i="3"/>
  <c r="AF22" i="3"/>
  <c r="AF20" i="3"/>
  <c r="AG15" i="3"/>
  <c r="AF23" i="3"/>
  <c r="AF21" i="3"/>
  <c r="AR19" i="3"/>
  <c r="AR23" i="3"/>
  <c r="AR28" i="3"/>
  <c r="AR26" i="3"/>
  <c r="AR29" i="3"/>
  <c r="AH27" i="3"/>
  <c r="AH28" i="3"/>
  <c r="AG28" i="3"/>
  <c r="AG26" i="3"/>
  <c r="AG29" i="3"/>
  <c r="AG23" i="3"/>
  <c r="AG19" i="3"/>
  <c r="AG22" i="3"/>
  <c r="AG18" i="3"/>
  <c r="AG27" i="3"/>
  <c r="AG25" i="3"/>
  <c r="AF29" i="3"/>
  <c r="AQ25" i="3"/>
  <c r="AR20" i="3"/>
  <c r="AR16" i="3"/>
  <c r="AQ26" i="3"/>
  <c r="AQ24" i="3"/>
  <c r="AH12" i="3"/>
  <c r="AJ12" i="3" s="1"/>
  <c r="AI27" i="3" s="1"/>
  <c r="O17" i="3"/>
  <c r="N18" i="3"/>
  <c r="N17" i="3" s="1"/>
  <c r="AQ23" i="3"/>
  <c r="AQ21" i="3"/>
  <c r="AQ22" i="3"/>
  <c r="AQ20" i="3"/>
  <c r="AR15" i="3"/>
  <c r="X10" i="3"/>
  <c r="AD10" i="3" s="1"/>
  <c r="AD11" i="3" s="1"/>
  <c r="O18" i="3"/>
  <c r="P19" i="3"/>
  <c r="AQ19" i="3"/>
  <c r="AQ17" i="3"/>
  <c r="AQ15" i="3"/>
  <c r="AQ18" i="3"/>
  <c r="AQ16" i="3"/>
  <c r="AH23" i="3"/>
  <c r="AH21" i="3"/>
  <c r="AH22" i="3"/>
  <c r="AH20" i="3"/>
  <c r="H37" i="3"/>
  <c r="AX70" i="3"/>
  <c r="AD12" i="3"/>
  <c r="AK12" i="3"/>
  <c r="AW70" i="3" l="1"/>
  <c r="L110" i="3"/>
  <c r="I110" i="3"/>
  <c r="J110" i="3" s="1"/>
  <c r="K110" i="3" s="1"/>
  <c r="I125" i="3"/>
  <c r="L125" i="3"/>
  <c r="AY70" i="3"/>
  <c r="U69" i="3"/>
  <c r="T71" i="3"/>
  <c r="AS70" i="3"/>
  <c r="AS69" i="3"/>
  <c r="I126" i="3"/>
  <c r="M66" i="3"/>
  <c r="N68" i="3"/>
  <c r="N67" i="3" s="1"/>
  <c r="U70" i="3"/>
  <c r="U71" i="3"/>
  <c r="AR69" i="3"/>
  <c r="AR68" i="3"/>
  <c r="AH74" i="3"/>
  <c r="AH73" i="3"/>
  <c r="J75" i="3"/>
  <c r="J74" i="3"/>
  <c r="T70" i="3"/>
  <c r="T69" i="3"/>
  <c r="AS68" i="3"/>
  <c r="AR70" i="3"/>
  <c r="AW68" i="3"/>
  <c r="AV68" i="3"/>
  <c r="AU68" i="3"/>
  <c r="N72" i="3"/>
  <c r="M65" i="3"/>
  <c r="N77" i="3"/>
  <c r="AK65" i="3"/>
  <c r="AL67" i="3"/>
  <c r="AL66" i="3" s="1"/>
  <c r="AU69" i="3"/>
  <c r="AW69" i="3"/>
  <c r="AV69" i="3"/>
  <c r="AK64" i="3"/>
  <c r="AL71" i="3"/>
  <c r="AL76" i="3"/>
  <c r="L105" i="3"/>
  <c r="L104" i="3"/>
  <c r="L106" i="3"/>
  <c r="Y69" i="3"/>
  <c r="X69" i="3"/>
  <c r="W69" i="3"/>
  <c r="M110" i="3"/>
  <c r="W70" i="3"/>
  <c r="X70" i="3"/>
  <c r="Y70" i="3"/>
  <c r="Y71" i="3"/>
  <c r="W71" i="3"/>
  <c r="X71" i="3"/>
  <c r="AD14" i="3"/>
  <c r="AD16" i="3" s="1"/>
  <c r="S17" i="3"/>
  <c r="P17" i="3"/>
  <c r="AN27" i="3"/>
  <c r="AO22" i="3"/>
  <c r="AO21" i="3"/>
  <c r="AO23" i="3"/>
  <c r="AS19" i="3"/>
  <c r="AS17" i="3"/>
  <c r="AS15" i="3"/>
  <c r="AS18" i="3"/>
  <c r="AS16" i="3"/>
  <c r="AI18" i="3"/>
  <c r="AN18" i="3" s="1"/>
  <c r="AI23" i="3"/>
  <c r="AN23" i="3" s="1"/>
  <c r="AO19" i="3"/>
  <c r="AI20" i="3"/>
  <c r="AN20" i="3" s="1"/>
  <c r="AI15" i="3"/>
  <c r="AN15" i="3" s="1"/>
  <c r="AO28" i="3"/>
  <c r="AT29" i="3"/>
  <c r="AW29" i="3" s="1"/>
  <c r="AT27" i="3"/>
  <c r="AW27" i="3" s="1"/>
  <c r="AT25" i="3"/>
  <c r="AW25" i="3" s="1"/>
  <c r="AT23" i="3"/>
  <c r="AW23" i="3" s="1"/>
  <c r="AT21" i="3"/>
  <c r="AW21" i="3" s="1"/>
  <c r="AT19" i="3"/>
  <c r="AW19" i="3" s="1"/>
  <c r="AT17" i="3"/>
  <c r="AW17" i="3" s="1"/>
  <c r="AT15" i="3"/>
  <c r="AW15" i="3" s="1"/>
  <c r="AT28" i="3"/>
  <c r="AW28" i="3" s="1"/>
  <c r="AT26" i="3"/>
  <c r="AW26" i="3" s="1"/>
  <c r="AT24" i="3"/>
  <c r="AW24" i="3" s="1"/>
  <c r="AT22" i="3"/>
  <c r="AW22" i="3" s="1"/>
  <c r="AT20" i="3"/>
  <c r="AW20" i="3" s="1"/>
  <c r="AT18" i="3"/>
  <c r="AW18" i="3" s="1"/>
  <c r="AT16" i="3"/>
  <c r="AW16" i="3" s="1"/>
  <c r="AI22" i="3"/>
  <c r="AN22" i="3" s="1"/>
  <c r="P18" i="3"/>
  <c r="AL27" i="3"/>
  <c r="AO27" i="3"/>
  <c r="AJ27" i="3"/>
  <c r="AK27" i="3"/>
  <c r="AI24" i="3"/>
  <c r="AN24" i="3" s="1"/>
  <c r="AI25" i="3"/>
  <c r="AN25" i="3" s="1"/>
  <c r="AO24" i="3"/>
  <c r="AI26" i="3"/>
  <c r="AN26" i="3" s="1"/>
  <c r="AO16" i="3"/>
  <c r="AO26" i="3"/>
  <c r="AK20" i="3"/>
  <c r="AO20" i="3"/>
  <c r="AI21" i="3"/>
  <c r="AN21" i="3" s="1"/>
  <c r="AI28" i="3"/>
  <c r="AN28" i="3" s="1"/>
  <c r="AJ18" i="3"/>
  <c r="AO18" i="3"/>
  <c r="AO25" i="3"/>
  <c r="AI19" i="3"/>
  <c r="AN19" i="3" s="1"/>
  <c r="AI17" i="3"/>
  <c r="AN17" i="3" s="1"/>
  <c r="AK15" i="3"/>
  <c r="AO15" i="3"/>
  <c r="AO29" i="3"/>
  <c r="AI16" i="3"/>
  <c r="AN16" i="3" s="1"/>
  <c r="AI29" i="3"/>
  <c r="AO17" i="3"/>
  <c r="AU24" i="3"/>
  <c r="AX68" i="3"/>
  <c r="Z71" i="3"/>
  <c r="Z69" i="3"/>
  <c r="Z70" i="3"/>
  <c r="AX69" i="3"/>
  <c r="AM27" i="3"/>
  <c r="AM18" i="3"/>
  <c r="AV24" i="3"/>
  <c r="AL15" i="3" l="1"/>
  <c r="AJ15" i="3"/>
  <c r="AK66" i="3"/>
  <c r="AK25" i="3"/>
  <c r="AJ25" i="3"/>
  <c r="AJ20" i="3"/>
  <c r="AU23" i="3"/>
  <c r="AU28" i="3"/>
  <c r="AL20" i="3"/>
  <c r="AU21" i="3"/>
  <c r="AU20" i="3"/>
  <c r="AK28" i="3"/>
  <c r="AK26" i="3"/>
  <c r="AY69" i="3"/>
  <c r="AK18" i="3"/>
  <c r="AA70" i="3"/>
  <c r="N105" i="3"/>
  <c r="M105" i="3"/>
  <c r="AK71" i="3"/>
  <c r="AK76" i="3"/>
  <c r="AM65" i="3"/>
  <c r="AP65" i="3"/>
  <c r="AA69" i="3"/>
  <c r="O65" i="3"/>
  <c r="AP64" i="3"/>
  <c r="AM64" i="3"/>
  <c r="N73" i="3"/>
  <c r="N78" i="3"/>
  <c r="AA71" i="3"/>
  <c r="AY68" i="3"/>
  <c r="O66" i="3"/>
  <c r="M72" i="3"/>
  <c r="M77" i="3"/>
  <c r="AU27" i="3"/>
  <c r="AJ24" i="3"/>
  <c r="M67" i="3"/>
  <c r="R66" i="3" s="1"/>
  <c r="L119" i="3"/>
  <c r="L120" i="3"/>
  <c r="L121" i="3"/>
  <c r="N125" i="3"/>
  <c r="M125" i="3"/>
  <c r="J125" i="3"/>
  <c r="K125" i="3" s="1"/>
  <c r="AK72" i="3"/>
  <c r="AK77" i="3"/>
  <c r="AM66" i="3"/>
  <c r="AN65" i="3" s="1"/>
  <c r="AO65" i="3" s="1"/>
  <c r="N106" i="3"/>
  <c r="M106" i="3"/>
  <c r="AL18" i="3"/>
  <c r="AK24" i="3"/>
  <c r="M104" i="3"/>
  <c r="N104" i="3"/>
  <c r="AL77" i="3"/>
  <c r="AL72" i="3"/>
  <c r="AL17" i="3"/>
  <c r="AU29" i="3"/>
  <c r="AL25" i="3"/>
  <c r="AL26" i="3"/>
  <c r="AU22" i="3"/>
  <c r="AJ28" i="3"/>
  <c r="AL19" i="3"/>
  <c r="AL22" i="3"/>
  <c r="AK17" i="3"/>
  <c r="AU25" i="3"/>
  <c r="AJ23" i="3"/>
  <c r="AK22" i="3"/>
  <c r="AL23" i="3"/>
  <c r="AJ22" i="3"/>
  <c r="AJ17" i="3"/>
  <c r="AJ26" i="3"/>
  <c r="AJ16" i="3"/>
  <c r="AL24" i="3"/>
  <c r="S13" i="3"/>
  <c r="S8" i="3"/>
  <c r="S9" i="3"/>
  <c r="S10" i="3"/>
  <c r="S11" i="3"/>
  <c r="S12" i="3"/>
  <c r="T17" i="3"/>
  <c r="U17" i="3"/>
  <c r="AU16" i="3"/>
  <c r="AK23" i="3"/>
  <c r="AN29" i="3"/>
  <c r="AJ29" i="3"/>
  <c r="AL29" i="3"/>
  <c r="AK29" i="3"/>
  <c r="AU26" i="3"/>
  <c r="AU18" i="3"/>
  <c r="AL21" i="3"/>
  <c r="AL16" i="3"/>
  <c r="AU15" i="3"/>
  <c r="Q17" i="3"/>
  <c r="R17" i="3" s="1"/>
  <c r="AK16" i="3"/>
  <c r="AL28" i="3"/>
  <c r="AK19" i="3"/>
  <c r="AU17" i="3"/>
  <c r="AK21" i="3"/>
  <c r="AJ19" i="3"/>
  <c r="AU19" i="3"/>
  <c r="AJ21" i="3"/>
  <c r="AM15" i="3"/>
  <c r="AM25" i="3"/>
  <c r="AM20" i="3"/>
  <c r="AV23" i="3"/>
  <c r="AV28" i="3"/>
  <c r="AV21" i="3"/>
  <c r="AV20" i="3"/>
  <c r="AV27" i="3"/>
  <c r="AM24" i="3"/>
  <c r="AV29" i="3"/>
  <c r="AV25" i="3"/>
  <c r="AV18" i="3"/>
  <c r="AV17" i="3"/>
  <c r="AM23" i="3"/>
  <c r="AV16" i="3"/>
  <c r="AM19" i="3"/>
  <c r="AM21" i="3"/>
  <c r="AV22" i="3"/>
  <c r="AV15" i="3"/>
  <c r="AV19" i="3"/>
  <c r="AM28" i="3"/>
  <c r="AM22" i="3"/>
  <c r="AM29" i="3"/>
  <c r="AM26" i="3"/>
  <c r="AM16" i="3"/>
  <c r="AV26" i="3"/>
  <c r="AM17" i="3"/>
  <c r="R65" i="3" l="1"/>
  <c r="AM72" i="3"/>
  <c r="AN71" i="3" s="1"/>
  <c r="AM76" i="3"/>
  <c r="AP76" i="3"/>
  <c r="AN64" i="3"/>
  <c r="AO64" i="3" s="1"/>
  <c r="AM71" i="3"/>
  <c r="AP71" i="3"/>
  <c r="O72" i="3"/>
  <c r="N119" i="3"/>
  <c r="M119" i="3"/>
  <c r="O77" i="3"/>
  <c r="M121" i="3"/>
  <c r="N121" i="3"/>
  <c r="M120" i="3"/>
  <c r="N120" i="3"/>
  <c r="AM77" i="3"/>
  <c r="M73" i="3"/>
  <c r="O73" i="3" s="1"/>
  <c r="M78" i="3"/>
  <c r="O78" i="3" s="1"/>
  <c r="O67" i="3"/>
  <c r="P66" i="3" s="1"/>
  <c r="Q66" i="3" s="1"/>
  <c r="U12" i="3"/>
  <c r="T12" i="3"/>
  <c r="U10" i="3"/>
  <c r="T10" i="3"/>
  <c r="U9" i="3"/>
  <c r="T9" i="3"/>
  <c r="U8" i="3"/>
  <c r="T8" i="3"/>
  <c r="T11" i="3"/>
  <c r="U11" i="3"/>
  <c r="U13" i="3"/>
  <c r="T13" i="3"/>
  <c r="AO71" i="3"/>
  <c r="P77" i="3" l="1"/>
  <c r="AN76" i="3"/>
  <c r="P65" i="3"/>
  <c r="Q65" i="3" s="1"/>
  <c r="R72" i="3"/>
  <c r="P72" i="3"/>
  <c r="R77" i="3"/>
  <c r="Q77" i="3"/>
  <c r="AO76" i="3"/>
  <c r="Q72" i="3"/>
</calcChain>
</file>

<file path=xl/sharedStrings.xml><?xml version="1.0" encoding="utf-8"?>
<sst xmlns="http://schemas.openxmlformats.org/spreadsheetml/2006/main" count="609" uniqueCount="193">
  <si>
    <t>GRUPO</t>
  </si>
  <si>
    <t># muestra</t>
  </si>
  <si>
    <t>Carga N</t>
  </si>
  <si>
    <t>ASPECTO DE FALLA</t>
  </si>
  <si>
    <t>observaciones</t>
  </si>
  <si>
    <r>
      <rPr>
        <b/>
        <sz val="20"/>
        <color theme="1"/>
        <rFont val="Calibri"/>
        <family val="2"/>
        <scheme val="minor"/>
      </rPr>
      <t>RESISTENCIA A LA FLEXION EN Mpa= 3FL /2wh</t>
    </r>
    <r>
      <rPr>
        <b/>
        <vertAlign val="superscript"/>
        <sz val="20"/>
        <color theme="1"/>
        <rFont val="Calibri"/>
        <family val="2"/>
        <scheme val="minor"/>
      </rPr>
      <t>2</t>
    </r>
  </si>
  <si>
    <t>BFF</t>
  </si>
  <si>
    <t>BFFR</t>
  </si>
  <si>
    <t>EF</t>
  </si>
  <si>
    <t>EFR</t>
  </si>
  <si>
    <t>30,57</t>
  </si>
  <si>
    <t>29,9</t>
  </si>
  <si>
    <t>26,2</t>
  </si>
  <si>
    <t>23,85</t>
  </si>
  <si>
    <t>22,62</t>
  </si>
  <si>
    <t>25,67</t>
  </si>
  <si>
    <t>30,03</t>
  </si>
  <si>
    <t>37,07</t>
  </si>
  <si>
    <t>37,63</t>
  </si>
  <si>
    <t>33,32</t>
  </si>
  <si>
    <t>33,78</t>
  </si>
  <si>
    <t>26,00</t>
  </si>
  <si>
    <t>28,68</t>
  </si>
  <si>
    <t>32,02</t>
  </si>
  <si>
    <t>34,70</t>
  </si>
  <si>
    <t>29,08</t>
  </si>
  <si>
    <t>38,61</t>
  </si>
  <si>
    <t>Resistencia a la Flexion Mpa</t>
  </si>
  <si>
    <t>19mm</t>
  </si>
  <si>
    <t>2 mm</t>
  </si>
  <si>
    <t>2mm</t>
  </si>
  <si>
    <r>
      <rPr>
        <b/>
        <sz val="14"/>
        <color theme="1"/>
        <rFont val="Calibri"/>
        <family val="2"/>
        <scheme val="minor"/>
      </rPr>
      <t>F</t>
    </r>
    <r>
      <rPr>
        <sz val="14"/>
        <color theme="1"/>
        <rFont val="Calibri"/>
        <family val="2"/>
        <scheme val="minor"/>
      </rPr>
      <t>= carga en Newtons (N)</t>
    </r>
  </si>
  <si>
    <r>
      <rPr>
        <b/>
        <sz val="14"/>
        <color theme="1"/>
        <rFont val="Calibri"/>
        <family val="2"/>
        <scheme val="minor"/>
      </rPr>
      <t>L</t>
    </r>
    <r>
      <rPr>
        <sz val="14"/>
        <color theme="1"/>
        <rFont val="Calibri"/>
        <family val="2"/>
        <scheme val="minor"/>
      </rPr>
      <t>=  distancia entre puntos de rodillos de soporte</t>
    </r>
  </si>
  <si>
    <r>
      <rPr>
        <b/>
        <sz val="14"/>
        <color theme="1"/>
        <rFont val="Calibri"/>
        <family val="2"/>
        <scheme val="minor"/>
      </rPr>
      <t>w</t>
    </r>
    <r>
      <rPr>
        <sz val="14"/>
        <color theme="1"/>
        <rFont val="Calibri"/>
        <family val="2"/>
        <scheme val="minor"/>
      </rPr>
      <t>= ancho de la probeta</t>
    </r>
  </si>
  <si>
    <r>
      <rPr>
        <b/>
        <sz val="14"/>
        <color theme="1"/>
        <rFont val="Calibri"/>
        <family val="2"/>
        <scheme val="minor"/>
      </rPr>
      <t>h</t>
    </r>
    <r>
      <rPr>
        <sz val="14"/>
        <color theme="1"/>
        <rFont val="Calibri"/>
        <family val="2"/>
        <scheme val="minor"/>
      </rPr>
      <t>= altura de probeta</t>
    </r>
  </si>
  <si>
    <t>En la práctica es multiplicar 3 x carga en newton x 19 y cada resultado dividirlo por 16 asi se obtiene la Flexion en Mpa</t>
  </si>
  <si>
    <t>29,67</t>
  </si>
  <si>
    <t>27,34</t>
  </si>
  <si>
    <t>28,47</t>
  </si>
  <si>
    <t>24,56</t>
  </si>
  <si>
    <t>27,38</t>
  </si>
  <si>
    <t>29,29</t>
  </si>
  <si>
    <t>32,54</t>
  </si>
  <si>
    <t>30,26</t>
  </si>
  <si>
    <t>24,67</t>
  </si>
  <si>
    <t>24,68</t>
  </si>
  <si>
    <t>30,21</t>
  </si>
  <si>
    <t>31,29</t>
  </si>
  <si>
    <t>27,91</t>
  </si>
  <si>
    <t>29,80</t>
  </si>
  <si>
    <t>29,12</t>
  </si>
  <si>
    <t>33,03</t>
  </si>
  <si>
    <t>35,31</t>
  </si>
  <si>
    <t>32,53</t>
  </si>
  <si>
    <t>35,93</t>
  </si>
  <si>
    <t>33,84</t>
  </si>
  <si>
    <t>Gruupo 1 A</t>
  </si>
  <si>
    <t xml:space="preserve">CONTROL </t>
  </si>
  <si>
    <t>Grupo 1 B</t>
  </si>
  <si>
    <t>Grupo 2 B</t>
  </si>
  <si>
    <t xml:space="preserve">EXEPERIMENTAL </t>
  </si>
  <si>
    <t>Grupo 2 A</t>
  </si>
  <si>
    <t xml:space="preserve">EXPERIMENTAL </t>
  </si>
  <si>
    <t>BFFRW</t>
  </si>
  <si>
    <t>EFRW</t>
  </si>
  <si>
    <t>Grupo 1 C</t>
  </si>
  <si>
    <t>RESISTENCIA A LA FLEXION DE BARRAS GRUPO RESINA BULK FILL</t>
  </si>
  <si>
    <t>RESISTENCIA A LA FLEXION DE BARRAS GRUPO RESINA  EVER X FLOW</t>
  </si>
  <si>
    <t>Grupo 2 C</t>
  </si>
  <si>
    <t>Input in Excel Anova format</t>
  </si>
  <si>
    <t>ANOVA: Single Factor</t>
  </si>
  <si>
    <t>DESCRIPTION</t>
  </si>
  <si>
    <t>Alpha</t>
  </si>
  <si>
    <t>Group</t>
  </si>
  <si>
    <t>Count</t>
  </si>
  <si>
    <t>Sum</t>
  </si>
  <si>
    <t>Mean</t>
  </si>
  <si>
    <t>Variance</t>
  </si>
  <si>
    <t>SS</t>
  </si>
  <si>
    <t>Std Err</t>
  </si>
  <si>
    <t>Lower</t>
  </si>
  <si>
    <t>Upper</t>
  </si>
  <si>
    <t>ANOVA</t>
  </si>
  <si>
    <t>Sources</t>
  </si>
  <si>
    <t>df</t>
  </si>
  <si>
    <t>MS</t>
  </si>
  <si>
    <t>F</t>
  </si>
  <si>
    <t>P value</t>
  </si>
  <si>
    <t>Eta-sq</t>
  </si>
  <si>
    <t>RMSSE</t>
  </si>
  <si>
    <t>Omega Sq</t>
  </si>
  <si>
    <t>Between Groups</t>
  </si>
  <si>
    <t>Within Groups</t>
  </si>
  <si>
    <t>Total</t>
  </si>
  <si>
    <t>Kruskal-Wallis Test</t>
  </si>
  <si>
    <t>median</t>
  </si>
  <si>
    <t>rank sum</t>
  </si>
  <si>
    <t>count</t>
  </si>
  <si>
    <t>r^2/n</t>
  </si>
  <si>
    <t>H-stat</t>
  </si>
  <si>
    <t>H-ties</t>
  </si>
  <si>
    <t>p-value</t>
  </si>
  <si>
    <t>alpha</t>
  </si>
  <si>
    <t>sig</t>
  </si>
  <si>
    <t>TUKEY HSD/KRAMER</t>
  </si>
  <si>
    <t>group</t>
  </si>
  <si>
    <t>mean</t>
  </si>
  <si>
    <t>n</t>
  </si>
  <si>
    <t>ss</t>
  </si>
  <si>
    <t>q-crit</t>
  </si>
  <si>
    <t>Q TEST</t>
  </si>
  <si>
    <t>group 1</t>
  </si>
  <si>
    <t>group 2</t>
  </si>
  <si>
    <t>std err</t>
  </si>
  <si>
    <t>q-stat</t>
  </si>
  <si>
    <t>lower</t>
  </si>
  <si>
    <t>upper</t>
  </si>
  <si>
    <t>mean-crit</t>
  </si>
  <si>
    <t>Cohen d</t>
  </si>
  <si>
    <t>NEMENYI TEST</t>
  </si>
  <si>
    <t>R sum</t>
  </si>
  <si>
    <t>size</t>
  </si>
  <si>
    <t>R mean</t>
  </si>
  <si>
    <t>R-crit</t>
  </si>
  <si>
    <t>Descriptive Statistics</t>
  </si>
  <si>
    <t>Standard Error</t>
  </si>
  <si>
    <t>Median</t>
  </si>
  <si>
    <t>Mode</t>
  </si>
  <si>
    <t>Standard Deviation</t>
  </si>
  <si>
    <t>Sample Variance</t>
  </si>
  <si>
    <t>Kurtosis</t>
  </si>
  <si>
    <t>Skewness</t>
  </si>
  <si>
    <t>Range</t>
  </si>
  <si>
    <t>Maximum</t>
  </si>
  <si>
    <t>Minimum</t>
  </si>
  <si>
    <t>Geometric Mean</t>
  </si>
  <si>
    <t>Harmonic Mean</t>
  </si>
  <si>
    <t>AAD</t>
  </si>
  <si>
    <t>MAD</t>
  </si>
  <si>
    <t>IQR</t>
  </si>
  <si>
    <t>Shapiro-Wilk Test</t>
  </si>
  <si>
    <t>W-stat</t>
  </si>
  <si>
    <t>normal</t>
  </si>
  <si>
    <t>d'Agostino-Pearson</t>
  </si>
  <si>
    <t>DA-stat</t>
  </si>
  <si>
    <t>GG epsilon</t>
  </si>
  <si>
    <t>HF epsilon</t>
  </si>
  <si>
    <t>Repeated Measures Anova</t>
  </si>
  <si>
    <t xml:space="preserve"> P Eta-sq</t>
  </si>
  <si>
    <t>Subjects</t>
  </si>
  <si>
    <t>Groups</t>
  </si>
  <si>
    <t>Error</t>
  </si>
  <si>
    <t>Greenhouse and Geisser</t>
  </si>
  <si>
    <t>Huyhn and Feldt</t>
  </si>
  <si>
    <t>TUKEY HSD: Repeated Measures Anova</t>
  </si>
  <si>
    <t>Levene's Tests</t>
  </si>
  <si>
    <t>type</t>
  </si>
  <si>
    <t>means</t>
  </si>
  <si>
    <t>medians</t>
  </si>
  <si>
    <t>trimmed</t>
  </si>
  <si>
    <t>ANOVA p- value</t>
  </si>
  <si>
    <t>Tukey</t>
  </si>
  <si>
    <t>N</t>
  </si>
  <si>
    <t>MPa</t>
  </si>
  <si>
    <t>Tukey N</t>
  </si>
  <si>
    <t>Tukey MPa</t>
  </si>
  <si>
    <t>d´Agostino p-value</t>
  </si>
  <si>
    <t>Unidades</t>
  </si>
  <si>
    <t>prueba</t>
  </si>
  <si>
    <t>objetivo</t>
  </si>
  <si>
    <t>ANALISIS EXPLORATORIO DE DATOS</t>
  </si>
  <si>
    <t>DESCRIBIR LA MUESTRA</t>
  </si>
  <si>
    <t>Dágostino</t>
  </si>
  <si>
    <t>DETERMINAR SI LAS RESISTENSCIAS TIENEN DISTRIBUCION NORMAL</t>
  </si>
  <si>
    <t>GG epsiloson</t>
  </si>
  <si>
    <t>Levene</t>
  </si>
  <si>
    <t>DETERMINAR LA HOMOCEDASTICIDAD DE VARIaNZAS PARA MEDIDAS REPETIDAS</t>
  </si>
  <si>
    <t>Determinra la homocedasticidad de varainzas</t>
  </si>
  <si>
    <t>ANOVA PARA MEDIDAS REPETIDAS</t>
  </si>
  <si>
    <t>Determinar si los promedios intra grupos presentan diferncias</t>
  </si>
  <si>
    <t>Determinar si los promedios inter grupos presentan diferncias</t>
  </si>
  <si>
    <t>Ubicara las diferencias</t>
  </si>
  <si>
    <t>Software Real Statistics V4,4 de Sep 2024 que es el mismo R para Excel</t>
  </si>
  <si>
    <t xml:space="preserve">6.1 Objetivo general </t>
  </si>
  <si>
    <t xml:space="preserve">Evaluar la resistencia flexural de fibras de polietileno reforzadas con dos tipos de composite fluidos de alta carga, impregnadas y no impregnadas con adhesivo sin carga. </t>
  </si>
  <si>
    <t xml:space="preserve">6.2 Objetivos específicos </t>
  </si>
  <si>
    <t>1. Identificar la resistencia flexural de barras elaboradas con fibras de polietileno reforzadas con dos tipos de composite fluido, impregnadas con adhesivo sin carga, por medio de pruebas en máquina de ensayo universal (Instron).</t>
  </si>
  <si>
    <t>2. Identificar la resistencia flexural de barras elaboradas con fibras de polietileno reforzadas con dos tipos de composite fluido, no impregnadas con adhesivo sin carga, por medio de pruebas en máquina de ensayo universal (Instron).</t>
  </si>
  <si>
    <t>3. Identificar el tipo de fractura que se presenta en cada una de las muestras de los grupos de estudio por medio de microscopio.</t>
  </si>
  <si>
    <t>4. Comparar la resistencia flexural de barras del grupo de estudio 1 incluyendo su grupo control.</t>
  </si>
  <si>
    <t>5. Comparar la resistencia flexural de barras del grupo de estudio 2 incluyendo su grupo control.</t>
  </si>
  <si>
    <t>6. Comparar la resistencia flexural de barras del grupo de estudio 1 con barras del grupo 2</t>
  </si>
  <si>
    <t xml:space="preserve">7. Comparar el tipo de fractura que se presenta entre los grupos de estudio.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</si>
</sst>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0.000"/>
  </numFmts>
  <fonts count="14"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b/>
      <sz val="20"/>
      <color theme="1"/>
      <name val="Calibri"/>
      <family val="2"/>
      <scheme val="minor"/>
    </font>
    <font>
      <b/>
      <vertAlign val="superscript"/>
      <sz val="20"/>
      <color theme="1"/>
      <name val="Calibri"/>
      <family val="2"/>
      <scheme val="minor"/>
    </font>
    <font>
      <sz val="14"/>
      <color theme="1"/>
      <name val="Calibri"/>
      <family val="2"/>
      <scheme val="minor"/>
    </font>
    <font>
      <sz val="11"/>
      <name val="Calibri"/>
      <family val="2"/>
      <scheme val="minor"/>
    </font>
    <font>
      <sz val="11"/>
      <color rgb="FFFF0000"/>
      <name val="Calibri"/>
      <family val="2"/>
      <scheme val="minor"/>
    </font>
    <font>
      <i/>
      <sz val="11"/>
      <color theme="1"/>
      <name val="Calibri"/>
      <family val="2"/>
      <scheme val="minor"/>
    </font>
    <font>
      <b/>
      <sz val="10"/>
      <color theme="1"/>
      <name val="Arial"/>
      <family val="2"/>
    </font>
    <font>
      <sz val="10"/>
      <color theme="1"/>
      <name val="Calibri"/>
      <family val="2"/>
      <scheme val="minor"/>
    </font>
    <font>
      <sz val="10"/>
      <color theme="1"/>
      <name val="Arial"/>
      <family val="2"/>
    </font>
    <font>
      <sz val="10"/>
      <color theme="1"/>
      <name val="Aptos"/>
      <family val="2"/>
    </font>
  </fonts>
  <fills count="9">
    <fill>
      <patternFill patternType="none"/>
    </fill>
    <fill>
      <patternFill patternType="gray125"/>
    </fill>
    <fill>
      <patternFill patternType="solid">
        <fgColor theme="8"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4"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style="double">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64"/>
      </right>
      <top/>
      <bottom style="thin">
        <color indexed="64"/>
      </bottom>
      <diagonal/>
    </border>
  </borders>
  <cellStyleXfs count="1">
    <xf numFmtId="0" fontId="0" fillId="0" borderId="0"/>
  </cellStyleXfs>
  <cellXfs count="162">
    <xf numFmtId="0" fontId="0" fillId="0" borderId="0" xfId="0"/>
    <xf numFmtId="0" fontId="0" fillId="0" borderId="1"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4" xfId="0" applyBorder="1"/>
    <xf numFmtId="0" fontId="0" fillId="0" borderId="13" xfId="0" applyBorder="1"/>
    <xf numFmtId="0" fontId="0" fillId="0" borderId="15" xfId="0" applyBorder="1"/>
    <xf numFmtId="0" fontId="0" fillId="0" borderId="16" xfId="0" applyBorder="1" applyAlignment="1">
      <alignment horizontal="center"/>
    </xf>
    <xf numFmtId="0" fontId="0" fillId="0" borderId="17" xfId="0" applyBorder="1" applyAlignment="1">
      <alignment horizontal="center"/>
    </xf>
    <xf numFmtId="0" fontId="1" fillId="0" borderId="18" xfId="0" applyFont="1" applyBorder="1"/>
    <xf numFmtId="0" fontId="0" fillId="0" borderId="17" xfId="0" applyBorder="1"/>
    <xf numFmtId="0" fontId="6" fillId="0" borderId="0" xfId="0" applyFont="1"/>
    <xf numFmtId="0" fontId="2" fillId="0" borderId="0" xfId="0" applyFont="1"/>
    <xf numFmtId="0" fontId="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4" xfId="0" applyBorder="1"/>
    <xf numFmtId="0" fontId="0" fillId="0" borderId="25" xfId="0" applyBorder="1"/>
    <xf numFmtId="0" fontId="0" fillId="0" borderId="26" xfId="0" applyBorder="1"/>
    <xf numFmtId="0" fontId="0" fillId="0" borderId="29" xfId="0" applyBorder="1"/>
    <xf numFmtId="0" fontId="0" fillId="0" borderId="30" xfId="0" applyBorder="1"/>
    <xf numFmtId="0" fontId="0" fillId="0" borderId="1" xfId="0"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3" fillId="2" borderId="5" xfId="0" applyFont="1" applyFill="1" applyBorder="1" applyAlignment="1">
      <alignment horizontal="center"/>
    </xf>
    <xf numFmtId="0" fontId="1" fillId="2" borderId="24" xfId="0" applyFont="1" applyFill="1" applyBorder="1" applyAlignment="1">
      <alignment horizontal="center"/>
    </xf>
    <xf numFmtId="0" fontId="1" fillId="3" borderId="31" xfId="0" applyFont="1" applyFill="1" applyBorder="1" applyAlignment="1">
      <alignment horizontal="center"/>
    </xf>
    <xf numFmtId="0" fontId="1" fillId="3" borderId="2" xfId="0" applyFont="1" applyFill="1" applyBorder="1" applyAlignment="1">
      <alignment horizontal="center"/>
    </xf>
    <xf numFmtId="0" fontId="3" fillId="3" borderId="2" xfId="0" applyFont="1" applyFill="1" applyBorder="1" applyAlignment="1">
      <alignment horizontal="center"/>
    </xf>
    <xf numFmtId="0" fontId="1" fillId="3" borderId="0" xfId="0" applyFont="1" applyFill="1" applyAlignment="1">
      <alignment horizontal="center"/>
    </xf>
    <xf numFmtId="0" fontId="1" fillId="3" borderId="3" xfId="0" applyFont="1" applyFill="1" applyBorder="1" applyAlignment="1">
      <alignment horizontal="center"/>
    </xf>
    <xf numFmtId="0" fontId="1" fillId="4" borderId="4" xfId="0" applyFont="1" applyFill="1" applyBorder="1" applyAlignment="1">
      <alignment horizontal="center"/>
    </xf>
    <xf numFmtId="0" fontId="1" fillId="4" borderId="5" xfId="0" applyFont="1" applyFill="1" applyBorder="1" applyAlignment="1">
      <alignment horizontal="center"/>
    </xf>
    <xf numFmtId="0" fontId="3" fillId="4" borderId="5" xfId="0" applyFont="1" applyFill="1" applyBorder="1" applyAlignment="1">
      <alignment horizontal="center"/>
    </xf>
    <xf numFmtId="0" fontId="1" fillId="4" borderId="33" xfId="0" applyFont="1" applyFill="1" applyBorder="1" applyAlignment="1">
      <alignment horizontal="center"/>
    </xf>
    <xf numFmtId="0" fontId="1" fillId="4" borderId="31" xfId="0" applyFont="1" applyFill="1" applyBorder="1" applyAlignment="1">
      <alignment horizontal="center"/>
    </xf>
    <xf numFmtId="0" fontId="1" fillId="4" borderId="32" xfId="0" applyFont="1" applyFill="1" applyBorder="1" applyAlignment="1">
      <alignment horizontal="center"/>
    </xf>
    <xf numFmtId="0" fontId="0" fillId="2" borderId="6" xfId="0" applyFill="1" applyBorder="1"/>
    <xf numFmtId="43" fontId="0" fillId="2" borderId="6" xfId="0" applyNumberFormat="1" applyFill="1" applyBorder="1"/>
    <xf numFmtId="43" fontId="7" fillId="2" borderId="6" xfId="0" applyNumberFormat="1" applyFont="1" applyFill="1" applyBorder="1" applyAlignment="1">
      <alignment horizontal="center"/>
    </xf>
    <xf numFmtId="43" fontId="0" fillId="2" borderId="1" xfId="0" applyNumberFormat="1" applyFill="1" applyBorder="1"/>
    <xf numFmtId="43" fontId="0" fillId="2" borderId="9" xfId="0" applyNumberFormat="1" applyFill="1" applyBorder="1"/>
    <xf numFmtId="43" fontId="7" fillId="2" borderId="28" xfId="0" applyNumberFormat="1" applyFont="1" applyFill="1" applyBorder="1" applyAlignment="1">
      <alignment horizontal="center"/>
    </xf>
    <xf numFmtId="0" fontId="0" fillId="3" borderId="6" xfId="0" applyFill="1" applyBorder="1"/>
    <xf numFmtId="43" fontId="0" fillId="3" borderId="23" xfId="0" applyNumberFormat="1" applyFill="1" applyBorder="1"/>
    <xf numFmtId="43" fontId="7" fillId="3" borderId="23" xfId="0" applyNumberFormat="1" applyFont="1" applyFill="1" applyBorder="1" applyAlignment="1">
      <alignment horizontal="center"/>
    </xf>
    <xf numFmtId="43" fontId="0" fillId="3" borderId="1" xfId="0" applyNumberFormat="1" applyFill="1" applyBorder="1"/>
    <xf numFmtId="43" fontId="7" fillId="3" borderId="1" xfId="0" applyNumberFormat="1" applyFont="1" applyFill="1" applyBorder="1" applyAlignment="1">
      <alignment horizontal="center"/>
    </xf>
    <xf numFmtId="43" fontId="0" fillId="3" borderId="19" xfId="0" applyNumberFormat="1" applyFill="1" applyBorder="1"/>
    <xf numFmtId="43" fontId="7" fillId="3" borderId="19" xfId="0" applyNumberFormat="1" applyFont="1" applyFill="1" applyBorder="1" applyAlignment="1">
      <alignment horizontal="center"/>
    </xf>
    <xf numFmtId="43" fontId="7" fillId="3" borderId="6" xfId="0" applyNumberFormat="1" applyFont="1" applyFill="1" applyBorder="1" applyAlignment="1">
      <alignment horizontal="center"/>
    </xf>
    <xf numFmtId="43" fontId="0" fillId="3" borderId="9" xfId="0" applyNumberFormat="1" applyFill="1" applyBorder="1"/>
    <xf numFmtId="0" fontId="0" fillId="4" borderId="6" xfId="0" applyFill="1" applyBorder="1"/>
    <xf numFmtId="43" fontId="0" fillId="4" borderId="1" xfId="0" applyNumberFormat="1" applyFill="1" applyBorder="1" applyAlignment="1">
      <alignment horizontal="left"/>
    </xf>
    <xf numFmtId="43" fontId="7" fillId="4" borderId="6" xfId="0" applyNumberFormat="1" applyFont="1" applyFill="1" applyBorder="1" applyAlignment="1">
      <alignment horizontal="center"/>
    </xf>
    <xf numFmtId="43" fontId="0" fillId="4" borderId="18" xfId="0" applyNumberFormat="1" applyFill="1" applyBorder="1" applyAlignment="1">
      <alignment horizontal="left"/>
    </xf>
    <xf numFmtId="43" fontId="7" fillId="4" borderId="16" xfId="0" applyNumberFormat="1" applyFont="1" applyFill="1" applyBorder="1" applyAlignment="1">
      <alignment horizontal="center"/>
    </xf>
    <xf numFmtId="43" fontId="7" fillId="4" borderId="1" xfId="0" applyNumberFormat="1" applyFont="1" applyFill="1" applyBorder="1" applyAlignment="1">
      <alignment horizontal="center"/>
    </xf>
    <xf numFmtId="43" fontId="0" fillId="4" borderId="9" xfId="0" applyNumberFormat="1" applyFill="1" applyBorder="1" applyAlignment="1">
      <alignment horizontal="left"/>
    </xf>
    <xf numFmtId="43" fontId="7" fillId="4" borderId="9" xfId="0" applyNumberFormat="1" applyFont="1" applyFill="1" applyBorder="1" applyAlignment="1">
      <alignment horizontal="center"/>
    </xf>
    <xf numFmtId="0" fontId="1" fillId="5" borderId="5" xfId="0" applyFont="1" applyFill="1" applyBorder="1" applyAlignment="1">
      <alignment horizontal="center"/>
    </xf>
    <xf numFmtId="0" fontId="0" fillId="5" borderId="1" xfId="0" applyFill="1" applyBorder="1"/>
    <xf numFmtId="43" fontId="0" fillId="5" borderId="6" xfId="0" applyNumberFormat="1" applyFill="1" applyBorder="1"/>
    <xf numFmtId="43" fontId="7" fillId="5" borderId="6" xfId="0" applyNumberFormat="1" applyFont="1" applyFill="1" applyBorder="1" applyAlignment="1">
      <alignment horizontal="center"/>
    </xf>
    <xf numFmtId="0" fontId="1" fillId="5" borderId="0" xfId="0" applyFont="1" applyFill="1" applyAlignment="1">
      <alignment horizontal="center"/>
    </xf>
    <xf numFmtId="43" fontId="0" fillId="5" borderId="1" xfId="0" applyNumberFormat="1" applyFill="1" applyBorder="1"/>
    <xf numFmtId="0" fontId="3" fillId="5" borderId="5" xfId="0" applyFont="1" applyFill="1" applyBorder="1" applyAlignment="1">
      <alignment horizontal="center"/>
    </xf>
    <xf numFmtId="0" fontId="1" fillId="5" borderId="27" xfId="0" applyFont="1" applyFill="1" applyBorder="1" applyAlignment="1">
      <alignment horizontal="center"/>
    </xf>
    <xf numFmtId="43" fontId="0" fillId="5" borderId="9" xfId="0" applyNumberFormat="1" applyFill="1" applyBorder="1"/>
    <xf numFmtId="0" fontId="1" fillId="6" borderId="0" xfId="0" applyFont="1" applyFill="1" applyAlignment="1">
      <alignment horizontal="center"/>
    </xf>
    <xf numFmtId="0" fontId="0" fillId="6" borderId="1" xfId="0" applyFill="1" applyBorder="1"/>
    <xf numFmtId="43" fontId="0" fillId="6" borderId="19" xfId="0" applyNumberFormat="1" applyFill="1" applyBorder="1"/>
    <xf numFmtId="43" fontId="7" fillId="6" borderId="6" xfId="0" applyNumberFormat="1" applyFont="1" applyFill="1" applyBorder="1" applyAlignment="1">
      <alignment horizontal="center"/>
    </xf>
    <xf numFmtId="43" fontId="0" fillId="6" borderId="1" xfId="0" applyNumberFormat="1" applyFill="1" applyBorder="1"/>
    <xf numFmtId="0" fontId="1" fillId="6" borderId="5" xfId="0" applyFont="1" applyFill="1" applyBorder="1" applyAlignment="1">
      <alignment horizontal="center"/>
    </xf>
    <xf numFmtId="0" fontId="3" fillId="6" borderId="5" xfId="0" applyFont="1" applyFill="1" applyBorder="1" applyAlignment="1">
      <alignment horizontal="center"/>
    </xf>
    <xf numFmtId="43" fontId="0" fillId="6" borderId="18" xfId="0" applyNumberFormat="1" applyFill="1" applyBorder="1"/>
    <xf numFmtId="43" fontId="0" fillId="6" borderId="9" xfId="0" applyNumberFormat="1" applyFill="1" applyBorder="1"/>
    <xf numFmtId="0" fontId="1" fillId="7" borderId="34" xfId="0" applyFont="1" applyFill="1" applyBorder="1" applyAlignment="1">
      <alignment horizontal="center"/>
    </xf>
    <xf numFmtId="0" fontId="0" fillId="7" borderId="1" xfId="0" applyFill="1" applyBorder="1"/>
    <xf numFmtId="43" fontId="0" fillId="7" borderId="20" xfId="0" applyNumberFormat="1" applyFill="1" applyBorder="1" applyAlignment="1">
      <alignment horizontal="left"/>
    </xf>
    <xf numFmtId="43" fontId="7" fillId="7" borderId="19" xfId="0" applyNumberFormat="1" applyFont="1" applyFill="1" applyBorder="1" applyAlignment="1">
      <alignment horizontal="center"/>
    </xf>
    <xf numFmtId="0" fontId="1" fillId="7" borderId="5" xfId="0" applyFont="1" applyFill="1" applyBorder="1" applyAlignment="1">
      <alignment horizontal="center"/>
    </xf>
    <xf numFmtId="43" fontId="0" fillId="7" borderId="14" xfId="0" applyNumberFormat="1" applyFill="1" applyBorder="1" applyAlignment="1">
      <alignment horizontal="left"/>
    </xf>
    <xf numFmtId="43" fontId="7" fillId="7" borderId="1" xfId="0" applyNumberFormat="1" applyFont="1" applyFill="1" applyBorder="1" applyAlignment="1">
      <alignment horizontal="center"/>
    </xf>
    <xf numFmtId="0" fontId="3" fillId="7" borderId="5" xfId="0" applyFont="1" applyFill="1" applyBorder="1" applyAlignment="1">
      <alignment horizontal="center"/>
    </xf>
    <xf numFmtId="43" fontId="0" fillId="7" borderId="17" xfId="0" applyNumberFormat="1" applyFill="1" applyBorder="1" applyAlignment="1">
      <alignment horizontal="left"/>
    </xf>
    <xf numFmtId="43" fontId="7" fillId="7" borderId="18" xfId="0" applyNumberFormat="1" applyFont="1" applyFill="1" applyBorder="1" applyAlignment="1">
      <alignment horizontal="center"/>
    </xf>
    <xf numFmtId="0" fontId="1" fillId="7" borderId="0" xfId="0" applyFont="1" applyFill="1" applyAlignment="1">
      <alignment horizontal="center"/>
    </xf>
    <xf numFmtId="43" fontId="0" fillId="7" borderId="1" xfId="0" applyNumberFormat="1" applyFill="1" applyBorder="1" applyAlignment="1">
      <alignment horizontal="left"/>
    </xf>
    <xf numFmtId="0" fontId="0" fillId="7" borderId="0" xfId="0" applyFill="1"/>
    <xf numFmtId="0" fontId="0" fillId="7" borderId="1" xfId="0" applyFill="1" applyBorder="1" applyAlignment="1">
      <alignment horizontal="left"/>
    </xf>
    <xf numFmtId="0" fontId="0" fillId="7" borderId="32" xfId="0" applyFill="1" applyBorder="1"/>
    <xf numFmtId="0" fontId="0" fillId="7" borderId="9" xfId="0" applyFill="1" applyBorder="1" applyAlignment="1">
      <alignment horizontal="left"/>
    </xf>
    <xf numFmtId="164" fontId="0" fillId="7" borderId="9" xfId="0" applyNumberFormat="1" applyFill="1" applyBorder="1"/>
    <xf numFmtId="0" fontId="0" fillId="0" borderId="0" xfId="0" applyAlignment="1">
      <alignment horizontal="center"/>
    </xf>
    <xf numFmtId="0" fontId="0" fillId="0" borderId="23" xfId="0" applyBorder="1" applyAlignment="1">
      <alignment horizontal="center"/>
    </xf>
    <xf numFmtId="0" fontId="1" fillId="7" borderId="35" xfId="0" applyFont="1" applyFill="1" applyBorder="1" applyAlignment="1">
      <alignment horizontal="center"/>
    </xf>
    <xf numFmtId="0" fontId="1" fillId="2" borderId="11" xfId="0" applyFont="1" applyFill="1" applyBorder="1" applyAlignment="1">
      <alignment horizontal="center"/>
    </xf>
    <xf numFmtId="0" fontId="1" fillId="4" borderId="11" xfId="0" applyFont="1" applyFill="1" applyBorder="1" applyAlignment="1">
      <alignment horizontal="center"/>
    </xf>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0" fontId="0" fillId="0" borderId="43" xfId="0" applyBorder="1"/>
    <xf numFmtId="0" fontId="9" fillId="0" borderId="44" xfId="0" applyFont="1" applyBorder="1" applyAlignment="1">
      <alignment horizontal="center"/>
    </xf>
    <xf numFmtId="0" fontId="0" fillId="0" borderId="0" xfId="0" applyAlignment="1">
      <alignment horizontal="right"/>
    </xf>
    <xf numFmtId="0" fontId="0" fillId="0" borderId="45" xfId="0" applyBorder="1"/>
    <xf numFmtId="0" fontId="0" fillId="0" borderId="46" xfId="0" applyBorder="1"/>
    <xf numFmtId="0" fontId="0" fillId="0" borderId="47" xfId="0" applyBorder="1" applyAlignment="1">
      <alignment horizontal="right"/>
    </xf>
    <xf numFmtId="0" fontId="9" fillId="0" borderId="24" xfId="0" applyFont="1" applyBorder="1" applyAlignment="1">
      <alignment horizontal="center"/>
    </xf>
    <xf numFmtId="0" fontId="0" fillId="0" borderId="24" xfId="0" applyBorder="1" applyAlignment="1">
      <alignment horizontal="right"/>
    </xf>
    <xf numFmtId="0" fontId="0" fillId="0" borderId="47" xfId="0" applyBorder="1"/>
    <xf numFmtId="2" fontId="0" fillId="0" borderId="26" xfId="0" applyNumberFormat="1" applyBorder="1"/>
    <xf numFmtId="2" fontId="0" fillId="0" borderId="0" xfId="0" applyNumberFormat="1"/>
    <xf numFmtId="2" fontId="0" fillId="0" borderId="24" xfId="0" applyNumberFormat="1" applyBorder="1"/>
    <xf numFmtId="2" fontId="0" fillId="0" borderId="1" xfId="0" applyNumberFormat="1" applyBorder="1"/>
    <xf numFmtId="164" fontId="0" fillId="0" borderId="1" xfId="0" applyNumberFormat="1" applyBorder="1"/>
    <xf numFmtId="164" fontId="0" fillId="0" borderId="29" xfId="0" applyNumberFormat="1" applyBorder="1"/>
    <xf numFmtId="164" fontId="0" fillId="0" borderId="31" xfId="0" applyNumberFormat="1" applyBorder="1"/>
    <xf numFmtId="0" fontId="0" fillId="0" borderId="31" xfId="0" applyBorder="1"/>
    <xf numFmtId="164" fontId="0" fillId="0" borderId="20" xfId="0" applyNumberFormat="1" applyBorder="1"/>
    <xf numFmtId="0" fontId="0" fillId="0" borderId="48" xfId="0" applyBorder="1"/>
    <xf numFmtId="0" fontId="0" fillId="0" borderId="19" xfId="0" applyBorder="1"/>
    <xf numFmtId="2" fontId="0" fillId="0" borderId="19" xfId="0" applyNumberFormat="1" applyBorder="1"/>
    <xf numFmtId="164" fontId="0" fillId="0" borderId="19" xfId="0" applyNumberFormat="1" applyBorder="1"/>
    <xf numFmtId="164" fontId="0" fillId="0" borderId="17" xfId="0" applyNumberFormat="1" applyBorder="1"/>
    <xf numFmtId="164" fontId="0" fillId="0" borderId="35" xfId="0" applyNumberFormat="1" applyBorder="1"/>
    <xf numFmtId="0" fontId="0" fillId="0" borderId="35" xfId="0" applyBorder="1"/>
    <xf numFmtId="164" fontId="0" fillId="0" borderId="48" xfId="0" applyNumberFormat="1" applyBorder="1"/>
    <xf numFmtId="164" fontId="0" fillId="0" borderId="18" xfId="0" applyNumberFormat="1" applyBorder="1"/>
    <xf numFmtId="164" fontId="0" fillId="0" borderId="23" xfId="0" applyNumberFormat="1" applyBorder="1"/>
    <xf numFmtId="0" fontId="0" fillId="0" borderId="23" xfId="0" applyBorder="1"/>
    <xf numFmtId="2" fontId="0" fillId="0" borderId="17" xfId="0" applyNumberFormat="1" applyBorder="1"/>
    <xf numFmtId="2" fontId="0" fillId="0" borderId="29" xfId="0" applyNumberFormat="1" applyBorder="1"/>
    <xf numFmtId="2" fontId="0" fillId="0" borderId="20" xfId="0" applyNumberFormat="1" applyBorder="1"/>
    <xf numFmtId="0" fontId="10" fillId="0" borderId="0" xfId="0" applyFont="1" applyAlignment="1">
      <alignment vertical="center"/>
    </xf>
    <xf numFmtId="0" fontId="11" fillId="0" borderId="0" xfId="0" applyFont="1"/>
    <xf numFmtId="0" fontId="12" fillId="0" borderId="0" xfId="0" applyFont="1" applyAlignment="1">
      <alignment horizontal="justify" vertical="center"/>
    </xf>
    <xf numFmtId="0" fontId="13" fillId="0" borderId="0" xfId="0" applyFont="1" applyAlignment="1">
      <alignment vertical="center"/>
    </xf>
    <xf numFmtId="164" fontId="8" fillId="0" borderId="26" xfId="0" applyNumberFormat="1" applyFont="1" applyBorder="1"/>
    <xf numFmtId="164" fontId="8" fillId="0" borderId="0" xfId="0" applyNumberFormat="1" applyFont="1"/>
    <xf numFmtId="164" fontId="8" fillId="0" borderId="24" xfId="0" applyNumberFormat="1" applyFont="1" applyBorder="1"/>
    <xf numFmtId="0" fontId="8" fillId="0" borderId="24" xfId="0" applyFont="1" applyBorder="1"/>
    <xf numFmtId="0" fontId="8" fillId="0" borderId="0" xfId="0" applyFont="1"/>
    <xf numFmtId="164" fontId="8" fillId="0" borderId="35" xfId="0" applyNumberFormat="1" applyFont="1" applyBorder="1"/>
    <xf numFmtId="164" fontId="8" fillId="0" borderId="31" xfId="0" applyNumberFormat="1" applyFont="1" applyBorder="1"/>
    <xf numFmtId="164" fontId="8" fillId="0" borderId="48" xfId="0" applyNumberFormat="1" applyFont="1" applyBorder="1"/>
    <xf numFmtId="0" fontId="8" fillId="0" borderId="31" xfId="0" applyFont="1" applyBorder="1"/>
    <xf numFmtId="0" fontId="0" fillId="8" borderId="1" xfId="0" applyFill="1" applyBorder="1" applyAlignment="1">
      <alignment horizontal="center" vertical="center" wrapText="1"/>
    </xf>
    <xf numFmtId="0" fontId="0" fillId="8" borderId="18" xfId="0" applyFill="1" applyBorder="1" applyAlignment="1">
      <alignment horizontal="center" vertical="center" wrapText="1"/>
    </xf>
    <xf numFmtId="0" fontId="0" fillId="8" borderId="19" xfId="0" applyFill="1" applyBorder="1" applyAlignment="1">
      <alignment horizontal="center" vertical="center" wrapText="1"/>
    </xf>
    <xf numFmtId="0" fontId="1" fillId="0" borderId="11"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0" xfId="0" applyAlignment="1">
      <alignment horizontal="center"/>
    </xf>
  </cellXfs>
  <cellStyles count="1">
    <cellStyle name="Normal" xfId="0" builtinId="0"/>
  </cellStyles>
  <dxfs count="2">
    <dxf>
      <font>
        <color rgb="FFFF0000"/>
      </font>
    </dxf>
    <dxf>
      <font>
        <color rgb="FFFF0000"/>
      </font>
    </dxf>
  </dxfs>
  <tableStyles count="1" defaultTableStyle="TableStyleMedium2" defaultPivotStyle="PivotStyleLight16">
    <tableStyle name="Invisible" pivot="0" table="0" count="0" xr9:uid="{A0D28DDF-2167-4972-88C6-D1BA0A59540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_xlchart.v1.19</cx:f>
      </cx:numDim>
    </cx:data>
    <cx:data id="1">
      <cx:numDim type="val">
        <cx:f>_xlchart.v1.21</cx:f>
      </cx:numDim>
    </cx:data>
    <cx:data id="2">
      <cx:numDim type="val">
        <cx:f>_xlchart.v1.23</cx:f>
      </cx:numDim>
    </cx:data>
  </cx:chartData>
  <cx:chart>
    <cx:title pos="t" align="ctr" overlay="0">
      <cx:tx>
        <cx:txData>
          <cx:v>COMPARACIÓN INTRA BFF</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INTRA BFF</a:t>
          </a:r>
        </a:p>
      </cx:txPr>
    </cx:title>
    <cx:plotArea>
      <cx:plotAreaRegion>
        <cx:series layoutId="boxWhisker" uniqueId="{6EE1A60C-F576-46D7-9350-32A517FDE23E}">
          <cx:tx>
            <cx:txData>
              <cx:f>_xlchart.v1.18</cx:f>
              <cx:v>BFF</cx:v>
            </cx:txData>
          </cx:tx>
          <cx:dataId val="0"/>
          <cx:layoutPr>
            <cx:statistics quartileMethod="exclusive"/>
          </cx:layoutPr>
        </cx:series>
        <cx:series layoutId="boxWhisker" uniqueId="{52724133-F03A-4271-B6A0-2BF7BEEEA54C}">
          <cx:tx>
            <cx:txData>
              <cx:f>_xlchart.v1.20</cx:f>
              <cx:v>BFFR</cx:v>
            </cx:txData>
          </cx:tx>
          <cx:dataId val="1"/>
          <cx:layoutPr>
            <cx:statistics quartileMethod="exclusive"/>
          </cx:layoutPr>
        </cx:series>
        <cx:series layoutId="boxWhisker" uniqueId="{6F32BD2D-6F59-480A-9C46-767942D7BC80}">
          <cx:tx>
            <cx:txData>
              <cx:f>_xlchart.v1.22</cx:f>
              <cx:v>BFFRW</cx:v>
            </cx:txData>
          </cx:tx>
          <cx:dataId val="2"/>
          <cx:layoutPr>
            <cx:statistics quartileMethod="exclusive"/>
          </cx:layoutPr>
        </cx:series>
      </cx:plotAreaRegion>
      <cx:axis id="0" hidden="1">
        <cx:catScaling gapWidth="1"/>
        <cx:title>
          <cx:tx>
            <cx:txData>
              <cx:v>GRUPO p=0,000</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 p=0,000</a:t>
              </a:r>
            </a:p>
          </cx:txPr>
        </cx:title>
        <cx:tickLabels/>
      </cx:axis>
      <cx:axis id="1">
        <cx:valScaling min="20"/>
        <cx:title>
          <cx:tx>
            <cx:txData>
              <cx:v>N</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N</a:t>
              </a:r>
            </a:p>
          </cx:txPr>
        </cx:title>
        <cx:majorGridlines/>
        <cx:tickLabels/>
      </cx:axis>
    </cx:plotArea>
    <cx:legend pos="t" align="ctr" overlay="0"/>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data id="2">
      <cx:numDim type="val">
        <cx:f>_xlchart.v1.5</cx:f>
      </cx:numDim>
    </cx:data>
  </cx:chartData>
  <cx:chart>
    <cx:title pos="t" align="ctr" overlay="0">
      <cx:tx>
        <cx:txData>
          <cx:v>COMPARACIÓN INTRA EF</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INTRA EF</a:t>
          </a:r>
        </a:p>
      </cx:txPr>
    </cx:title>
    <cx:plotArea>
      <cx:plotAreaRegion>
        <cx:series layoutId="boxWhisker" uniqueId="{CC735142-7B51-45B6-A4C0-7AE8499DAC3B}">
          <cx:tx>
            <cx:txData>
              <cx:f>_xlchart.v1.0</cx:f>
              <cx:v>EF</cx:v>
            </cx:txData>
          </cx:tx>
          <cx:dataId val="0"/>
          <cx:layoutPr>
            <cx:statistics quartileMethod="exclusive"/>
          </cx:layoutPr>
        </cx:series>
        <cx:series layoutId="boxWhisker" uniqueId="{822ABD45-34B8-4909-880B-7EDC8C52AF33}">
          <cx:tx>
            <cx:txData>
              <cx:f>_xlchart.v1.2</cx:f>
              <cx:v>EFR</cx:v>
            </cx:txData>
          </cx:tx>
          <cx:dataId val="1"/>
          <cx:layoutPr>
            <cx:statistics quartileMethod="exclusive"/>
          </cx:layoutPr>
        </cx:series>
        <cx:series layoutId="boxWhisker" uniqueId="{5B9E870B-C8D3-49B5-91C2-5D8148583ADB}">
          <cx:tx>
            <cx:txData>
              <cx:f>_xlchart.v1.4</cx:f>
              <cx:v>EFRW</cx:v>
            </cx:txData>
          </cx:tx>
          <cx:dataId val="2"/>
          <cx:layoutPr>
            <cx:statistics quartileMethod="exclusive"/>
          </cx:layoutPr>
        </cx:series>
      </cx:plotAreaRegion>
      <cx:axis id="0" hidden="1">
        <cx:catScaling gapWidth="1"/>
        <cx:title>
          <cx:tx>
            <cx:txData>
              <cx:v>GRUPO p=0,0002</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 p=0,0002</a:t>
              </a:r>
            </a:p>
          </cx:txPr>
        </cx:title>
        <cx:tickLabels/>
      </cx:axis>
      <cx:axis id="1">
        <cx:valScaling min="20"/>
        <cx:title>
          <cx:tx>
            <cx:txData>
              <cx:v>N</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N</a:t>
              </a:r>
            </a:p>
          </cx:txPr>
        </cx:title>
        <cx:majorGridlines/>
        <cx:tickLabels/>
      </cx:axis>
    </cx:plotArea>
    <cx:legend pos="t" align="ctr" overlay="0"/>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_xlchart.v1.7</cx:f>
      </cx:numDim>
    </cx:data>
    <cx:data id="1">
      <cx:numDim type="val">
        <cx:f>_xlchart.v1.9</cx:f>
      </cx:numDim>
    </cx:data>
    <cx:data id="2">
      <cx:numDim type="val">
        <cx:f>_xlchart.v1.11</cx:f>
      </cx:numDim>
    </cx:data>
    <cx:data id="3">
      <cx:numDim type="val">
        <cx:f>_xlchart.v1.13</cx:f>
      </cx:numDim>
    </cx:data>
    <cx:data id="4">
      <cx:numDim type="val">
        <cx:f>_xlchart.v1.15</cx:f>
      </cx:numDim>
    </cx:data>
    <cx:data id="5">
      <cx:numDim type="val">
        <cx:f>_xlchart.v1.17</cx:f>
      </cx:numDim>
    </cx:data>
  </cx:chartData>
  <cx:chart>
    <cx:title pos="t" align="ctr" overlay="0">
      <cx:tx>
        <cx:txData>
          <cx:v>COMPARACIÓN INTER GRUPOS</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INTER GRUPOS</a:t>
          </a:r>
        </a:p>
      </cx:txPr>
    </cx:title>
    <cx:plotArea>
      <cx:plotAreaRegion>
        <cx:series layoutId="boxWhisker" uniqueId="{ECF79D41-AFD3-4ADA-8877-98CDC7708E3E}">
          <cx:tx>
            <cx:txData>
              <cx:f>_xlchart.v1.6</cx:f>
              <cx:v>BFF</cx:v>
            </cx:txData>
          </cx:tx>
          <cx:dataId val="0"/>
          <cx:layoutPr>
            <cx:statistics quartileMethod="exclusive"/>
          </cx:layoutPr>
        </cx:series>
        <cx:series layoutId="boxWhisker" uniqueId="{0C3B75A1-4219-4D0B-B2BC-1AFEEF6DD996}">
          <cx:tx>
            <cx:txData>
              <cx:f>_xlchart.v1.8</cx:f>
              <cx:v>BFFR</cx:v>
            </cx:txData>
          </cx:tx>
          <cx:dataId val="1"/>
          <cx:layoutPr>
            <cx:statistics quartileMethod="exclusive"/>
          </cx:layoutPr>
        </cx:series>
        <cx:series layoutId="boxWhisker" uniqueId="{43186CFF-B3BC-4EB0-9C03-0A82718A9F27}">
          <cx:tx>
            <cx:txData>
              <cx:f>_xlchart.v1.10</cx:f>
              <cx:v>BFFRW</cx:v>
            </cx:txData>
          </cx:tx>
          <cx:dataId val="2"/>
          <cx:layoutPr>
            <cx:statistics quartileMethod="exclusive"/>
          </cx:layoutPr>
        </cx:series>
        <cx:series layoutId="boxWhisker" uniqueId="{DDEF90C9-5175-4EEE-9FA7-38B66D5D9150}">
          <cx:tx>
            <cx:txData>
              <cx:f>_xlchart.v1.12</cx:f>
              <cx:v>EF</cx:v>
            </cx:txData>
          </cx:tx>
          <cx:dataId val="3"/>
          <cx:layoutPr>
            <cx:statistics quartileMethod="exclusive"/>
          </cx:layoutPr>
        </cx:series>
        <cx:series layoutId="boxWhisker" uniqueId="{BBCD5C5F-B854-4593-898E-C2CD00E20324}">
          <cx:tx>
            <cx:txData>
              <cx:f>_xlchart.v1.14</cx:f>
              <cx:v>EFR</cx:v>
            </cx:txData>
          </cx:tx>
          <cx:dataId val="4"/>
          <cx:layoutPr>
            <cx:statistics quartileMethod="exclusive"/>
          </cx:layoutPr>
        </cx:series>
        <cx:series layoutId="boxWhisker" uniqueId="{0761657E-94C4-48B7-B6B1-CE2AA085722F}">
          <cx:tx>
            <cx:txData>
              <cx:f>_xlchart.v1.16</cx:f>
              <cx:v>EFRW</cx:v>
            </cx:txData>
          </cx:tx>
          <cx:dataId val="5"/>
          <cx:layoutPr>
            <cx:statistics quartileMethod="exclusive"/>
          </cx:layoutPr>
        </cx:series>
      </cx:plotAreaRegion>
      <cx:axis id="0" hidden="1">
        <cx:catScaling gapWidth="1"/>
        <cx:title>
          <cx:tx>
            <cx:txData>
              <cx:v>GRUPO p=0.000</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 p=0.000</a:t>
              </a:r>
            </a:p>
          </cx:txPr>
        </cx:title>
        <cx:tickLabels/>
      </cx:axis>
      <cx:axis id="1">
        <cx:valScaling/>
        <cx:title>
          <cx:tx>
            <cx:txData>
              <cx:v>N</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N</a:t>
              </a:r>
            </a:p>
          </cx:txPr>
        </cx:title>
        <cx:majorGridlines/>
        <cx:tickLabels/>
      </cx:axis>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microsoft.com/office/2014/relationships/chartEx" Target="../charts/chartEx3.xml"/><Relationship Id="rId2" Type="http://schemas.microsoft.com/office/2014/relationships/chartEx" Target="../charts/chartEx2.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11</xdr:col>
      <xdr:colOff>119063</xdr:colOff>
      <xdr:row>15</xdr:row>
      <xdr:rowOff>0</xdr:rowOff>
    </xdr:from>
    <xdr:to>
      <xdr:col>17</xdr:col>
      <xdr:colOff>152400</xdr:colOff>
      <xdr:row>29</xdr:row>
      <xdr:rowOff>76200</xdr:rowOff>
    </xdr:to>
    <mc:AlternateContent xmlns:mc="http://schemas.openxmlformats.org/markup-compatibility/2006">
      <mc:Choice xmlns:cx1="http://schemas.microsoft.com/office/drawing/2015/9/8/chartex" Requires="cx1">
        <xdr:graphicFrame macro="">
          <xdr:nvGraphicFramePr>
            <xdr:cNvPr id="5" name="Gráfico 4">
              <a:extLst>
                <a:ext uri="{FF2B5EF4-FFF2-40B4-BE49-F238E27FC236}">
                  <a16:creationId xmlns:a16="http://schemas.microsoft.com/office/drawing/2014/main" id="{9352960E-5288-4652-8F0C-B7059547BCE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853738" y="2876550"/>
              <a:ext cx="3843337"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tu versión de Excel.
Si editas esta forma o guardas el libro en un formato de archivo diferente, el gráfico no se podrá utilizar.</a:t>
              </a:r>
            </a:p>
          </xdr:txBody>
        </xdr:sp>
      </mc:Fallback>
    </mc:AlternateContent>
    <xdr:clientData/>
  </xdr:twoCellAnchor>
  <xdr:twoCellAnchor>
    <xdr:from>
      <xdr:col>17</xdr:col>
      <xdr:colOff>381000</xdr:colOff>
      <xdr:row>17</xdr:row>
      <xdr:rowOff>66675</xdr:rowOff>
    </xdr:from>
    <xdr:to>
      <xdr:col>26</xdr:col>
      <xdr:colOff>190500</xdr:colOff>
      <xdr:row>31</xdr:row>
      <xdr:rowOff>142875</xdr:rowOff>
    </xdr:to>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D347283D-282A-489C-99A0-DBD3033D663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4925675" y="3324225"/>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tu versión de Excel.
Si editas esta forma o guardas el libro en un formato de archivo diferente, el gráfico no se podrá utilizar.</a:t>
              </a:r>
            </a:p>
          </xdr:txBody>
        </xdr:sp>
      </mc:Fallback>
    </mc:AlternateContent>
    <xdr:clientData/>
  </xdr:twoCellAnchor>
  <xdr:twoCellAnchor>
    <xdr:from>
      <xdr:col>2</xdr:col>
      <xdr:colOff>3743326</xdr:colOff>
      <xdr:row>15</xdr:row>
      <xdr:rowOff>85725</xdr:rowOff>
    </xdr:from>
    <xdr:to>
      <xdr:col>10</xdr:col>
      <xdr:colOff>400051</xdr:colOff>
      <xdr:row>29</xdr:row>
      <xdr:rowOff>161925</xdr:rowOff>
    </xdr:to>
    <mc:AlternateContent xmlns:mc="http://schemas.openxmlformats.org/markup-compatibility/2006">
      <mc:Choice xmlns:cx1="http://schemas.microsoft.com/office/drawing/2015/9/8/chartex" Requires="cx1">
        <xdr:graphicFrame macro="">
          <xdr:nvGraphicFramePr>
            <xdr:cNvPr id="7" name="Gráfico 6">
              <a:extLst>
                <a:ext uri="{FF2B5EF4-FFF2-40B4-BE49-F238E27FC236}">
                  <a16:creationId xmlns:a16="http://schemas.microsoft.com/office/drawing/2014/main" id="{4D2607BF-303D-4C87-ABA2-C4E37AA08B3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134101" y="2962275"/>
              <a:ext cx="43434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tu versión de Excel.
Si editas esta forma o guardas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namericana\AppData\Roaming\Microsoft\Complementos\XRealStats1.xlam" TargetMode="External"/><Relationship Id="rId1" Type="http://schemas.openxmlformats.org/officeDocument/2006/relationships/externalLinkPath" Target="file:///C:\Users\panamericana\AppData\Roaming\Microsoft\Complementos\XRealStats1.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fig"/>
      <sheetName val="Wilcoxon Table"/>
      <sheetName val="Mann Table"/>
      <sheetName val="Runs Table"/>
      <sheetName val="KS Table"/>
      <sheetName val="KS2 Table"/>
      <sheetName val="Lil Table"/>
      <sheetName val="AD Table"/>
      <sheetName val="AD2 Table"/>
      <sheetName val="SW Table"/>
      <sheetName val="Stud. Q Table"/>
      <sheetName val="Stud. Q Table 2"/>
      <sheetName val="Sp Rho Table"/>
      <sheetName val="Ken Tau Table"/>
      <sheetName val="Durbin Table"/>
      <sheetName val="Dunnett Table"/>
      <sheetName val="Dunnett 1"/>
      <sheetName val="Kendall Tc"/>
      <sheetName val="Kendall u"/>
      <sheetName val="Page Table"/>
      <sheetName val="Prime"/>
      <sheetName val="MSSD"/>
      <sheetName val="Dict"/>
      <sheetName val="ADict"/>
      <sheetName val="L4 2"/>
      <sheetName val="L8 2"/>
      <sheetName val="L8 42"/>
      <sheetName val="L9 3"/>
      <sheetName val="L12 2"/>
      <sheetName val="L16 2"/>
      <sheetName val="L16 4"/>
      <sheetName val="L16 42a"/>
      <sheetName val="L18 23"/>
      <sheetName val="L18 63"/>
      <sheetName val="L25 5"/>
      <sheetName val="L27 3"/>
      <sheetName val="L32 2"/>
      <sheetName val="L32 24"/>
      <sheetName val="L36 23a"/>
      <sheetName val="L36 23b"/>
      <sheetName val="L50 25"/>
      <sheetName val="L54 23"/>
      <sheetName val="L64 4"/>
      <sheetName val="T2"/>
      <sheetName val="T3"/>
      <sheetName val="T4"/>
      <sheetName val="XRealStats1"/>
    </sheetNames>
    <definedNames>
      <definedName name="DAGOSTINO"/>
      <definedName name="dfWF"/>
      <definedName name="DPTEST"/>
      <definedName name="F_DIST_RT"/>
      <definedName name="GGEpsilon"/>
      <definedName name="HFEpsilon"/>
      <definedName name="IQR"/>
      <definedName name="LEVENE"/>
      <definedName name="MAD"/>
      <definedName name="MSWF"/>
      <definedName name="QCRIT"/>
      <definedName name="QDIST"/>
      <definedName name="RANK_SUM"/>
      <definedName name="SHAPIRO"/>
      <definedName name="StdAnova1"/>
      <definedName name="SWTEST"/>
      <definedName name="TiesCorrec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4B1DA-C6BF-44C9-8CEF-DE42B3943F6B}">
  <dimension ref="A1:AD17"/>
  <sheetViews>
    <sheetView tabSelected="1" workbookViewId="0">
      <selection activeCell="Z3" sqref="Z3"/>
    </sheetView>
  </sheetViews>
  <sheetFormatPr baseColWidth="10" defaultRowHeight="15" x14ac:dyDescent="0.25"/>
  <cols>
    <col min="1" max="1" width="33.140625" customWidth="1"/>
    <col min="2" max="2" width="2.7109375" customWidth="1"/>
    <col min="3" max="3" width="68.42578125" customWidth="1"/>
    <col min="4" max="4" width="3.85546875" customWidth="1"/>
    <col min="5" max="5" width="9.28515625" bestFit="1" customWidth="1"/>
    <col min="6" max="6" width="7.140625" bestFit="1" customWidth="1"/>
    <col min="7" max="7" width="3" bestFit="1" customWidth="1"/>
    <col min="8" max="8" width="6.5703125" bestFit="1" customWidth="1"/>
    <col min="9" max="9" width="9.28515625" customWidth="1"/>
    <col min="10" max="10" width="7.7109375" bestFit="1" customWidth="1"/>
    <col min="11" max="11" width="9.85546875" bestFit="1" customWidth="1"/>
    <col min="12" max="12" width="9.5703125" bestFit="1" customWidth="1"/>
    <col min="13" max="13" width="5.5703125" bestFit="1" customWidth="1"/>
    <col min="16" max="16" width="10" customWidth="1"/>
    <col min="17" max="17" width="9.140625" customWidth="1"/>
    <col min="18" max="18" width="10" customWidth="1"/>
    <col min="20" max="20" width="5.5703125" customWidth="1"/>
    <col min="21" max="22" width="8.28515625" bestFit="1" customWidth="1"/>
    <col min="23" max="23" width="6.5703125" bestFit="1" customWidth="1"/>
    <col min="24" max="24" width="6.42578125" bestFit="1" customWidth="1"/>
    <col min="25" max="25" width="6.7109375" bestFit="1" customWidth="1"/>
    <col min="26" max="26" width="8.140625" bestFit="1" customWidth="1"/>
    <col min="27" max="27" width="7" customWidth="1"/>
    <col min="28" max="28" width="6.42578125" bestFit="1" customWidth="1"/>
    <col min="29" max="29" width="6.7109375" bestFit="1" customWidth="1"/>
    <col min="30" max="30" width="8.140625" bestFit="1" customWidth="1"/>
  </cols>
  <sheetData>
    <row r="1" spans="1:30" ht="15.75" customHeight="1" thickBot="1" x14ac:dyDescent="0.3">
      <c r="A1" t="s">
        <v>168</v>
      </c>
      <c r="C1" t="s">
        <v>169</v>
      </c>
      <c r="E1" s="156" t="s">
        <v>167</v>
      </c>
      <c r="F1" s="155" t="s">
        <v>73</v>
      </c>
      <c r="G1" s="155" t="s">
        <v>107</v>
      </c>
      <c r="H1" s="155" t="s">
        <v>76</v>
      </c>
      <c r="I1" s="155" t="s">
        <v>125</v>
      </c>
      <c r="J1" s="155" t="s">
        <v>126</v>
      </c>
      <c r="K1" s="155" t="s">
        <v>133</v>
      </c>
      <c r="L1" s="155" t="s">
        <v>134</v>
      </c>
      <c r="M1" s="155" t="s">
        <v>139</v>
      </c>
      <c r="N1" s="155" t="s">
        <v>166</v>
      </c>
      <c r="O1" s="155" t="s">
        <v>145</v>
      </c>
      <c r="P1" s="155" t="s">
        <v>155</v>
      </c>
      <c r="Q1" s="155" t="s">
        <v>160</v>
      </c>
      <c r="R1" s="155" t="s">
        <v>155</v>
      </c>
      <c r="S1" s="155" t="s">
        <v>160</v>
      </c>
      <c r="U1" t="s">
        <v>164</v>
      </c>
      <c r="AA1" t="s">
        <v>165</v>
      </c>
    </row>
    <row r="2" spans="1:30" ht="15.75" thickTop="1" x14ac:dyDescent="0.25">
      <c r="A2" t="s">
        <v>170</v>
      </c>
      <c r="C2" t="s">
        <v>171</v>
      </c>
      <c r="E2" s="157"/>
      <c r="F2" s="156"/>
      <c r="G2" s="156"/>
      <c r="H2" s="156"/>
      <c r="I2" s="156"/>
      <c r="J2" s="156"/>
      <c r="K2" s="156"/>
      <c r="L2" s="156"/>
      <c r="M2" s="156"/>
      <c r="N2" s="156"/>
      <c r="O2" s="156"/>
      <c r="P2" s="156"/>
      <c r="Q2" s="156"/>
      <c r="R2" s="156"/>
      <c r="S2" s="156"/>
      <c r="U2" s="111" t="s">
        <v>111</v>
      </c>
      <c r="V2" s="111" t="s">
        <v>112</v>
      </c>
      <c r="W2" s="111" t="s">
        <v>106</v>
      </c>
      <c r="X2" s="111" t="s">
        <v>115</v>
      </c>
      <c r="Y2" s="111" t="s">
        <v>116</v>
      </c>
      <c r="Z2" s="111" t="s">
        <v>101</v>
      </c>
      <c r="AA2" s="111" t="s">
        <v>106</v>
      </c>
      <c r="AB2" s="111" t="s">
        <v>115</v>
      </c>
      <c r="AC2" s="111" t="s">
        <v>116</v>
      </c>
      <c r="AD2" s="111" t="s">
        <v>101</v>
      </c>
    </row>
    <row r="3" spans="1:30" x14ac:dyDescent="0.25">
      <c r="A3" t="s">
        <v>172</v>
      </c>
      <c r="C3" t="s">
        <v>173</v>
      </c>
      <c r="E3" s="12" t="s">
        <v>162</v>
      </c>
      <c r="F3" s="1" t="s">
        <v>6</v>
      </c>
      <c r="G3" s="1">
        <v>10</v>
      </c>
      <c r="H3" s="122">
        <v>26.183999999999997</v>
      </c>
      <c r="I3" s="122">
        <v>1.0398805486956504</v>
      </c>
      <c r="J3" s="122">
        <v>26.189999999999998</v>
      </c>
      <c r="K3" s="122">
        <v>30.57</v>
      </c>
      <c r="L3" s="122">
        <v>20.61</v>
      </c>
      <c r="M3" s="122">
        <v>4.6724999999999994</v>
      </c>
      <c r="N3" s="123">
        <v>0.8785333127982623</v>
      </c>
      <c r="O3" s="132">
        <v>0.85260746718154901</v>
      </c>
      <c r="P3" s="136">
        <v>0.60213930263117599</v>
      </c>
      <c r="Q3" s="146">
        <v>3.8404412996834282E-6</v>
      </c>
      <c r="R3" s="136">
        <v>0.58321528120485877</v>
      </c>
      <c r="S3" s="151">
        <v>2.3254229641984708E-8</v>
      </c>
      <c r="U3" s="12" t="s">
        <v>6</v>
      </c>
      <c r="V3" s="134" t="s">
        <v>7</v>
      </c>
      <c r="W3" s="139">
        <v>6.9050000000000082</v>
      </c>
      <c r="X3" s="119">
        <v>2.0085896199611266</v>
      </c>
      <c r="Y3" s="119">
        <v>11.80141038003889</v>
      </c>
      <c r="Z3" s="133">
        <v>1.5016275800274759E-3</v>
      </c>
      <c r="AA3" s="139">
        <v>24.599062499999988</v>
      </c>
      <c r="AB3" s="119">
        <v>7.1556005211114737</v>
      </c>
      <c r="AC3" s="119">
        <v>42.042524478888502</v>
      </c>
      <c r="AD3" s="133">
        <v>1.5016275800274759E-3</v>
      </c>
    </row>
    <row r="4" spans="1:30" x14ac:dyDescent="0.25">
      <c r="A4" t="s">
        <v>174</v>
      </c>
      <c r="C4" t="s">
        <v>176</v>
      </c>
      <c r="E4" s="22"/>
      <c r="F4" s="1" t="s">
        <v>7</v>
      </c>
      <c r="G4" s="1">
        <v>10</v>
      </c>
      <c r="H4" s="122">
        <v>33.089000000000006</v>
      </c>
      <c r="I4" s="122">
        <v>1.3207097839166957</v>
      </c>
      <c r="J4" s="122">
        <v>33.549999999999997</v>
      </c>
      <c r="K4" s="122">
        <v>38.61</v>
      </c>
      <c r="L4" s="122">
        <v>26</v>
      </c>
      <c r="M4" s="122">
        <v>6.6625000000000014</v>
      </c>
      <c r="N4" s="123">
        <v>0.7085792032968965</v>
      </c>
      <c r="O4" s="124"/>
      <c r="P4" s="137"/>
      <c r="Q4" s="147"/>
      <c r="R4" s="137"/>
      <c r="S4" s="152"/>
      <c r="U4" s="22" t="s">
        <v>6</v>
      </c>
      <c r="V4" s="126" t="s">
        <v>63</v>
      </c>
      <c r="W4" s="140">
        <v>10.821999999999996</v>
      </c>
      <c r="X4" s="120">
        <v>5.925589619961114</v>
      </c>
      <c r="Y4" s="120">
        <v>15.718410380038877</v>
      </c>
      <c r="Z4" s="125">
        <v>3.5081524674129838E-7</v>
      </c>
      <c r="AA4" s="140">
        <v>38.553374999999974</v>
      </c>
      <c r="AB4" s="120">
        <v>21.10991302111146</v>
      </c>
      <c r="AC4" s="120">
        <v>55.996836978888489</v>
      </c>
      <c r="AD4" s="125">
        <v>3.5081524674129838E-7</v>
      </c>
    </row>
    <row r="5" spans="1:30" x14ac:dyDescent="0.25">
      <c r="A5" t="s">
        <v>175</v>
      </c>
      <c r="C5" t="s">
        <v>177</v>
      </c>
      <c r="E5" s="22"/>
      <c r="F5" s="1" t="s">
        <v>63</v>
      </c>
      <c r="G5" s="1">
        <v>10</v>
      </c>
      <c r="H5" s="122">
        <v>37.005999999999993</v>
      </c>
      <c r="I5" s="122">
        <v>1.2521086214861907</v>
      </c>
      <c r="J5" s="122">
        <v>36.010000000000005</v>
      </c>
      <c r="K5" s="122">
        <v>44.12</v>
      </c>
      <c r="L5" s="122">
        <v>31.73</v>
      </c>
      <c r="M5" s="122">
        <v>4.8349999999999937</v>
      </c>
      <c r="N5" s="123">
        <v>0.68833639823881065</v>
      </c>
      <c r="O5" s="127"/>
      <c r="P5" s="131"/>
      <c r="Q5" s="148"/>
      <c r="R5" s="137"/>
      <c r="S5" s="152"/>
      <c r="U5" s="22" t="s">
        <v>6</v>
      </c>
      <c r="V5" s="126" t="s">
        <v>8</v>
      </c>
      <c r="W5" s="140">
        <v>5.7130000000000045</v>
      </c>
      <c r="X5" s="120">
        <v>0.81658961996112289</v>
      </c>
      <c r="Y5" s="120">
        <v>10.609410380038886</v>
      </c>
      <c r="Z5" s="125">
        <v>1.3383745082881093E-2</v>
      </c>
      <c r="AA5" s="140">
        <v>20.352562500000005</v>
      </c>
      <c r="AB5" s="120">
        <v>2.9091005211114904</v>
      </c>
      <c r="AC5" s="120">
        <v>37.796024478888519</v>
      </c>
      <c r="AD5" s="125">
        <v>1.3383745082881315E-2</v>
      </c>
    </row>
    <row r="6" spans="1:30" x14ac:dyDescent="0.25">
      <c r="A6" t="s">
        <v>178</v>
      </c>
      <c r="C6" t="s">
        <v>179</v>
      </c>
      <c r="E6" s="22"/>
      <c r="F6" s="129" t="s">
        <v>8</v>
      </c>
      <c r="G6" s="129">
        <v>10</v>
      </c>
      <c r="H6" s="130">
        <v>31.897000000000002</v>
      </c>
      <c r="I6" s="130">
        <v>0.8471718309239934</v>
      </c>
      <c r="J6" s="130">
        <v>31.91</v>
      </c>
      <c r="K6" s="130">
        <v>35.93</v>
      </c>
      <c r="L6" s="130">
        <v>27.91</v>
      </c>
      <c r="M6" s="130">
        <v>3.735000000000003</v>
      </c>
      <c r="N6" s="131">
        <v>0.65148094374321985</v>
      </c>
      <c r="O6" s="124">
        <v>0.79498134063203973</v>
      </c>
      <c r="P6" s="137">
        <v>0.31507290015619105</v>
      </c>
      <c r="Q6" s="147">
        <v>2.3024972052288818E-4</v>
      </c>
      <c r="R6" s="137"/>
      <c r="S6" s="152"/>
      <c r="U6" s="22" t="s">
        <v>6</v>
      </c>
      <c r="V6" s="126" t="s">
        <v>9</v>
      </c>
      <c r="W6" s="140">
        <v>1.7020000000000053</v>
      </c>
      <c r="X6" s="120">
        <v>-3.1944103800388763</v>
      </c>
      <c r="Y6" s="120">
        <v>6.5984103800388869</v>
      </c>
      <c r="Z6" s="125">
        <v>0.90681478387661951</v>
      </c>
      <c r="AA6" s="140">
        <v>6.0633750000000077</v>
      </c>
      <c r="AB6" s="120">
        <v>-11.380086978888507</v>
      </c>
      <c r="AC6" s="120">
        <v>23.506836978888522</v>
      </c>
      <c r="AD6" s="125">
        <v>0.90681478387662018</v>
      </c>
    </row>
    <row r="7" spans="1:30" x14ac:dyDescent="0.25">
      <c r="A7" t="s">
        <v>82</v>
      </c>
      <c r="C7" t="s">
        <v>180</v>
      </c>
      <c r="E7" s="22"/>
      <c r="F7" s="1" t="s">
        <v>9</v>
      </c>
      <c r="G7" s="1">
        <v>10</v>
      </c>
      <c r="H7" s="122">
        <v>27.886000000000003</v>
      </c>
      <c r="I7" s="122">
        <v>0.85001986904882265</v>
      </c>
      <c r="J7" s="122">
        <v>27.924999999999997</v>
      </c>
      <c r="K7" s="122">
        <v>32.54</v>
      </c>
      <c r="L7" s="122">
        <v>24.56</v>
      </c>
      <c r="M7" s="122">
        <v>4.230000000000004</v>
      </c>
      <c r="N7" s="123">
        <v>0.85610072324654407</v>
      </c>
      <c r="O7" s="124"/>
      <c r="P7" s="137"/>
      <c r="Q7" s="147"/>
      <c r="R7" s="137"/>
      <c r="S7" s="152"/>
      <c r="U7" s="22" t="s">
        <v>6</v>
      </c>
      <c r="V7" s="126" t="s">
        <v>64</v>
      </c>
      <c r="W7" s="140">
        <v>9.4160000000000039</v>
      </c>
      <c r="X7" s="120">
        <v>4.5195896199611223</v>
      </c>
      <c r="Y7" s="120">
        <v>14.312410380038886</v>
      </c>
      <c r="Z7" s="125">
        <v>7.9603012360651704E-6</v>
      </c>
      <c r="AA7" s="140">
        <v>33.544499999999999</v>
      </c>
      <c r="AB7" s="120">
        <v>16.101038021111485</v>
      </c>
      <c r="AC7" s="120">
        <v>50.987961978888514</v>
      </c>
      <c r="AD7" s="125">
        <v>7.9603012360651704E-6</v>
      </c>
    </row>
    <row r="8" spans="1:30" x14ac:dyDescent="0.25">
      <c r="A8" t="s">
        <v>161</v>
      </c>
      <c r="C8" t="s">
        <v>181</v>
      </c>
      <c r="E8" s="16"/>
      <c r="F8" s="1" t="s">
        <v>64</v>
      </c>
      <c r="G8" s="1">
        <v>10</v>
      </c>
      <c r="H8" s="122">
        <v>35.6</v>
      </c>
      <c r="I8" s="122">
        <v>1.5513664227956474</v>
      </c>
      <c r="J8" s="122">
        <v>36.17</v>
      </c>
      <c r="K8" s="122">
        <v>43.47</v>
      </c>
      <c r="L8" s="122">
        <v>24.97</v>
      </c>
      <c r="M8" s="122">
        <v>4.5650000000000048</v>
      </c>
      <c r="N8" s="123">
        <v>0.17900443586236847</v>
      </c>
      <c r="O8" s="127"/>
      <c r="P8" s="131"/>
      <c r="Q8" s="149"/>
      <c r="R8" s="131"/>
      <c r="S8" s="153"/>
      <c r="U8" s="22" t="s">
        <v>7</v>
      </c>
      <c r="V8" s="126" t="s">
        <v>63</v>
      </c>
      <c r="W8" s="140">
        <v>3.9169999999999874</v>
      </c>
      <c r="X8" s="120">
        <v>-0.97941038003889425</v>
      </c>
      <c r="Y8" s="120">
        <v>8.813410380038869</v>
      </c>
      <c r="Z8" s="125">
        <v>0.18762288091811286</v>
      </c>
      <c r="AA8" s="140">
        <v>13.954312499999986</v>
      </c>
      <c r="AB8" s="120">
        <v>-3.4891494788885282</v>
      </c>
      <c r="AC8" s="120">
        <v>31.3977744788885</v>
      </c>
      <c r="AD8" s="125">
        <v>0.18762288091811108</v>
      </c>
    </row>
    <row r="9" spans="1:30" x14ac:dyDescent="0.25">
      <c r="A9" t="s">
        <v>182</v>
      </c>
      <c r="E9" s="12" t="s">
        <v>163</v>
      </c>
      <c r="F9" s="1" t="s">
        <v>6</v>
      </c>
      <c r="G9" s="1">
        <v>10</v>
      </c>
      <c r="H9" s="122">
        <v>93.280500000000004</v>
      </c>
      <c r="I9" s="122">
        <v>3.7045744547282262</v>
      </c>
      <c r="J9" s="122">
        <v>93.301874999999995</v>
      </c>
      <c r="K9" s="122">
        <v>108.90562500000001</v>
      </c>
      <c r="L9" s="122">
        <v>73.423124999999999</v>
      </c>
      <c r="M9" s="122">
        <v>16.645781250000013</v>
      </c>
      <c r="N9" s="123">
        <v>0.87853331279833502</v>
      </c>
      <c r="O9" s="132">
        <v>0.85260746718154901</v>
      </c>
      <c r="P9" s="136">
        <v>0.60213930263117599</v>
      </c>
      <c r="Q9" s="146">
        <v>3.8404412996834282E-6</v>
      </c>
      <c r="R9" s="136">
        <v>0.58321528120485877</v>
      </c>
      <c r="S9" s="151">
        <v>2.3254229641984708E-8</v>
      </c>
      <c r="U9" s="22" t="s">
        <v>7</v>
      </c>
      <c r="V9" s="126" t="s">
        <v>8</v>
      </c>
      <c r="W9" s="140">
        <v>1.1920000000000037</v>
      </c>
      <c r="X9" s="120">
        <v>-3.7044103800388779</v>
      </c>
      <c r="Y9" s="120">
        <v>6.0884103800388854</v>
      </c>
      <c r="Z9" s="125">
        <v>0.97876644499372145</v>
      </c>
      <c r="AA9" s="140">
        <v>4.2464999999999833</v>
      </c>
      <c r="AB9" s="120">
        <v>-13.196961978888531</v>
      </c>
      <c r="AC9" s="120">
        <v>21.689961978888498</v>
      </c>
      <c r="AD9" s="125">
        <v>0.97876644499372212</v>
      </c>
    </row>
    <row r="10" spans="1:30" x14ac:dyDescent="0.25">
      <c r="E10" s="22"/>
      <c r="F10" s="1" t="s">
        <v>7</v>
      </c>
      <c r="G10" s="1">
        <v>10</v>
      </c>
      <c r="H10" s="122">
        <v>117.87956249999999</v>
      </c>
      <c r="I10" s="122">
        <v>4.7050286052033119</v>
      </c>
      <c r="J10" s="122">
        <v>119.52187500000001</v>
      </c>
      <c r="K10" s="122">
        <v>137.548125</v>
      </c>
      <c r="L10" s="122">
        <v>92.625</v>
      </c>
      <c r="M10" s="122">
        <v>23.735156250000017</v>
      </c>
      <c r="N10" s="123">
        <v>0.70857920329680091</v>
      </c>
      <c r="O10" s="124"/>
      <c r="P10" s="137"/>
      <c r="Q10" s="150"/>
      <c r="R10" s="138"/>
      <c r="S10" s="154"/>
      <c r="U10" s="22" t="s">
        <v>7</v>
      </c>
      <c r="V10" s="126" t="s">
        <v>9</v>
      </c>
      <c r="W10" s="140">
        <v>5.203000000000003</v>
      </c>
      <c r="X10" s="120">
        <v>0.30658961996112133</v>
      </c>
      <c r="Y10" s="120">
        <v>10.099410380038885</v>
      </c>
      <c r="Z10" s="125">
        <v>3.11137679132657E-2</v>
      </c>
      <c r="AA10" s="140">
        <v>18.53568749999998</v>
      </c>
      <c r="AB10" s="120">
        <v>1.092225521111466</v>
      </c>
      <c r="AC10" s="120">
        <v>35.979149478888495</v>
      </c>
      <c r="AD10" s="125">
        <v>3.1113767913266033E-2</v>
      </c>
    </row>
    <row r="11" spans="1:30" x14ac:dyDescent="0.25">
      <c r="E11" s="22"/>
      <c r="F11" s="1" t="s">
        <v>63</v>
      </c>
      <c r="G11" s="1">
        <v>10</v>
      </c>
      <c r="H11" s="122">
        <v>131.83387499999998</v>
      </c>
      <c r="I11" s="122">
        <v>4.4606369640445402</v>
      </c>
      <c r="J11" s="122">
        <v>128.28562500000001</v>
      </c>
      <c r="K11" s="122">
        <v>157.17750000000001</v>
      </c>
      <c r="L11" s="122">
        <v>113.03812500000001</v>
      </c>
      <c r="M11" s="122">
        <v>17.224687499999987</v>
      </c>
      <c r="N11" s="123">
        <v>0.68833639823881221</v>
      </c>
      <c r="O11" s="127"/>
      <c r="P11" s="131"/>
      <c r="Q11" s="149"/>
      <c r="R11" s="138"/>
      <c r="S11" s="154"/>
      <c r="U11" s="22" t="s">
        <v>7</v>
      </c>
      <c r="V11" s="126" t="s">
        <v>64</v>
      </c>
      <c r="W11" s="140">
        <v>2.5109999999999957</v>
      </c>
      <c r="X11" s="120">
        <v>-2.3854103800388859</v>
      </c>
      <c r="Y11" s="120">
        <v>7.4074103800388773</v>
      </c>
      <c r="Z11" s="125">
        <v>0.65624870286888748</v>
      </c>
      <c r="AA11" s="140">
        <v>8.9454375000000113</v>
      </c>
      <c r="AB11" s="120">
        <v>-8.4980244788885031</v>
      </c>
      <c r="AC11" s="120">
        <v>26.388899478888526</v>
      </c>
      <c r="AD11" s="125">
        <v>0.65624870286888481</v>
      </c>
    </row>
    <row r="12" spans="1:30" x14ac:dyDescent="0.25">
      <c r="E12" s="22"/>
      <c r="F12" s="129" t="s">
        <v>8</v>
      </c>
      <c r="G12" s="129">
        <v>10</v>
      </c>
      <c r="H12" s="130">
        <v>113.63306250000001</v>
      </c>
      <c r="I12" s="130">
        <v>3.0180496476667265</v>
      </c>
      <c r="J12" s="130">
        <v>113.67937499999999</v>
      </c>
      <c r="K12" s="130">
        <v>128.00062499999999</v>
      </c>
      <c r="L12" s="130">
        <v>99.429374999999993</v>
      </c>
      <c r="M12" s="130">
        <v>13.305937499999999</v>
      </c>
      <c r="N12" s="131">
        <v>0.6514809437432203</v>
      </c>
      <c r="O12" s="124">
        <v>0.79498134063203973</v>
      </c>
      <c r="P12" s="137">
        <v>0.31507290015619105</v>
      </c>
      <c r="Q12" s="146">
        <v>3.8404412996834282E-6</v>
      </c>
      <c r="R12" s="138"/>
      <c r="S12" s="154"/>
      <c r="U12" s="22" t="s">
        <v>63</v>
      </c>
      <c r="V12" s="126" t="s">
        <v>8</v>
      </c>
      <c r="W12" s="140">
        <v>5.1089999999999911</v>
      </c>
      <c r="X12" s="120">
        <v>0.21258961996110948</v>
      </c>
      <c r="Y12" s="120">
        <v>10.005410380038873</v>
      </c>
      <c r="Z12" s="125">
        <v>3.6086705150083831E-2</v>
      </c>
      <c r="AA12" s="140">
        <v>18.200812499999969</v>
      </c>
      <c r="AB12" s="120">
        <v>0.75735052111145507</v>
      </c>
      <c r="AC12" s="120">
        <v>35.644274478888484</v>
      </c>
      <c r="AD12" s="125">
        <v>3.6086705150083831E-2</v>
      </c>
    </row>
    <row r="13" spans="1:30" x14ac:dyDescent="0.25">
      <c r="E13" s="22"/>
      <c r="F13" s="1" t="s">
        <v>9</v>
      </c>
      <c r="G13" s="1">
        <v>10</v>
      </c>
      <c r="H13" s="122">
        <v>99.343875000000011</v>
      </c>
      <c r="I13" s="122">
        <v>3.028195783486431</v>
      </c>
      <c r="J13" s="122">
        <v>99.482812499999994</v>
      </c>
      <c r="K13" s="122">
        <v>115.92375</v>
      </c>
      <c r="L13" s="122">
        <v>87.495000000000005</v>
      </c>
      <c r="M13" s="122">
        <v>15.069375000000008</v>
      </c>
      <c r="N13" s="123">
        <v>0.85610072324654296</v>
      </c>
      <c r="O13" s="124"/>
      <c r="P13" s="137"/>
      <c r="Q13" s="150"/>
      <c r="R13" s="138"/>
      <c r="S13" s="154"/>
      <c r="U13" s="22" t="s">
        <v>63</v>
      </c>
      <c r="V13" s="126" t="s">
        <v>9</v>
      </c>
      <c r="W13" s="140">
        <v>9.1199999999999903</v>
      </c>
      <c r="X13" s="120">
        <v>4.2235896199611087</v>
      </c>
      <c r="Y13" s="120">
        <v>14.016410380038872</v>
      </c>
      <c r="Z13" s="125">
        <v>1.5187968574914557E-5</v>
      </c>
      <c r="AA13" s="140">
        <v>32.489999999999966</v>
      </c>
      <c r="AB13" s="120">
        <v>15.046538021111452</v>
      </c>
      <c r="AC13" s="120">
        <v>49.933461978888481</v>
      </c>
      <c r="AD13" s="125">
        <v>1.5187968574914557E-5</v>
      </c>
    </row>
    <row r="14" spans="1:30" x14ac:dyDescent="0.25">
      <c r="E14" s="16"/>
      <c r="F14" s="1" t="s">
        <v>64</v>
      </c>
      <c r="G14" s="1">
        <v>10</v>
      </c>
      <c r="H14" s="122">
        <v>126.825</v>
      </c>
      <c r="I14" s="122">
        <v>5.5267428812095059</v>
      </c>
      <c r="J14" s="122">
        <v>128.855625</v>
      </c>
      <c r="K14" s="122">
        <v>154.861875</v>
      </c>
      <c r="L14" s="122">
        <v>88.955624999999998</v>
      </c>
      <c r="M14" s="122">
        <v>16.262812499999981</v>
      </c>
      <c r="N14" s="123">
        <v>0.17900443586237991</v>
      </c>
      <c r="O14" s="127"/>
      <c r="P14" s="131"/>
      <c r="Q14" s="149"/>
      <c r="R14" s="129"/>
      <c r="S14" s="128"/>
      <c r="U14" s="22" t="s">
        <v>63</v>
      </c>
      <c r="V14" s="126" t="s">
        <v>64</v>
      </c>
      <c r="W14" s="140">
        <v>1.4059999999999917</v>
      </c>
      <c r="X14" s="120">
        <v>-3.4904103800388899</v>
      </c>
      <c r="Y14" s="120">
        <v>6.3024103800388733</v>
      </c>
      <c r="Z14" s="125">
        <v>0.95681121684038117</v>
      </c>
      <c r="AA14" s="140">
        <v>5.0088749999999749</v>
      </c>
      <c r="AB14" s="120">
        <v>-12.434586978888539</v>
      </c>
      <c r="AC14" s="120">
        <v>22.452336978888489</v>
      </c>
      <c r="AD14" s="125">
        <v>0.95681121684038106</v>
      </c>
    </row>
    <row r="15" spans="1:30" x14ac:dyDescent="0.25">
      <c r="U15" s="22" t="s">
        <v>8</v>
      </c>
      <c r="V15" s="126" t="s">
        <v>9</v>
      </c>
      <c r="W15" s="140">
        <v>4.0109999999999992</v>
      </c>
      <c r="X15" s="120">
        <v>-0.88541038003888239</v>
      </c>
      <c r="Y15" s="120">
        <v>8.9074103800388809</v>
      </c>
      <c r="Z15" s="125">
        <v>0.167637001776061</v>
      </c>
      <c r="AA15" s="140">
        <v>14.289187499999997</v>
      </c>
      <c r="AB15" s="120">
        <v>-3.1542744788885173</v>
      </c>
      <c r="AC15" s="120">
        <v>31.732649478888511</v>
      </c>
      <c r="AD15" s="125">
        <v>0.167637001776061</v>
      </c>
    </row>
    <row r="16" spans="1:30" x14ac:dyDescent="0.25">
      <c r="U16" s="22" t="s">
        <v>8</v>
      </c>
      <c r="V16" s="126" t="s">
        <v>64</v>
      </c>
      <c r="W16" s="140">
        <v>3.7029999999999994</v>
      </c>
      <c r="X16" s="120">
        <v>-1.1934103800388822</v>
      </c>
      <c r="Y16" s="120">
        <v>8.599410380038881</v>
      </c>
      <c r="Z16" s="125">
        <v>0.23946088185253145</v>
      </c>
      <c r="AA16" s="140">
        <v>13.191937499999995</v>
      </c>
      <c r="AB16" s="120">
        <v>-4.2515244788885198</v>
      </c>
      <c r="AC16" s="120">
        <v>30.635399478888509</v>
      </c>
      <c r="AD16" s="125">
        <v>0.23946088185253189</v>
      </c>
    </row>
    <row r="17" spans="21:30" x14ac:dyDescent="0.25">
      <c r="U17" s="16" t="s">
        <v>9</v>
      </c>
      <c r="V17" s="128" t="s">
        <v>64</v>
      </c>
      <c r="W17" s="141">
        <v>7.7139999999999986</v>
      </c>
      <c r="X17" s="121">
        <v>2.817589619961117</v>
      </c>
      <c r="Y17" s="121">
        <v>12.61041038003888</v>
      </c>
      <c r="Z17" s="135">
        <v>2.9829031111583415E-4</v>
      </c>
      <c r="AA17" s="141">
        <v>27.481124999999992</v>
      </c>
      <c r="AB17" s="121">
        <v>10.037663021111477</v>
      </c>
      <c r="AC17" s="121">
        <v>44.924586978888506</v>
      </c>
      <c r="AD17" s="135">
        <v>2.9829031111583415E-4</v>
      </c>
    </row>
  </sheetData>
  <mergeCells count="15">
    <mergeCell ref="S1:S2"/>
    <mergeCell ref="F1:F2"/>
    <mergeCell ref="E1:E2"/>
    <mergeCell ref="M1:M2"/>
    <mergeCell ref="N1:N2"/>
    <mergeCell ref="O1:O2"/>
    <mergeCell ref="P1:P2"/>
    <mergeCell ref="Q1:Q2"/>
    <mergeCell ref="R1:R2"/>
    <mergeCell ref="G1:G2"/>
    <mergeCell ref="H1:H2"/>
    <mergeCell ref="I1:I2"/>
    <mergeCell ref="J1:J2"/>
    <mergeCell ref="K1:K2"/>
    <mergeCell ref="L1:L2"/>
  </mergeCells>
  <conditionalFormatting sqref="Z3:Z17">
    <cfRule type="cellIs" dxfId="1" priority="2" operator="lessThan">
      <formula>0.05</formula>
    </cfRule>
  </conditionalFormatting>
  <conditionalFormatting sqref="AD3:AD17">
    <cfRule type="cellIs" dxfId="0" priority="1" operator="lessThan">
      <formula>0.05</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0251F-ABDA-490A-8E99-B2CA08F5F463}">
  <dimension ref="A1:A12"/>
  <sheetViews>
    <sheetView workbookViewId="0">
      <selection activeCell="D8" sqref="D8"/>
    </sheetView>
  </sheetViews>
  <sheetFormatPr baseColWidth="10" defaultRowHeight="12.75" x14ac:dyDescent="0.2"/>
  <cols>
    <col min="1" max="1" width="53.28515625" style="143" customWidth="1"/>
    <col min="2" max="16384" width="11.42578125" style="143"/>
  </cols>
  <sheetData>
    <row r="1" spans="1:1" x14ac:dyDescent="0.2">
      <c r="A1" s="142"/>
    </row>
    <row r="2" spans="1:1" x14ac:dyDescent="0.2">
      <c r="A2" s="142" t="s">
        <v>183</v>
      </c>
    </row>
    <row r="3" spans="1:1" ht="38.25" x14ac:dyDescent="0.2">
      <c r="A3" s="144" t="s">
        <v>184</v>
      </c>
    </row>
    <row r="4" spans="1:1" x14ac:dyDescent="0.2">
      <c r="A4" s="142" t="s">
        <v>185</v>
      </c>
    </row>
    <row r="5" spans="1:1" ht="51" x14ac:dyDescent="0.2">
      <c r="A5" s="144" t="s">
        <v>186</v>
      </c>
    </row>
    <row r="6" spans="1:1" ht="51" x14ac:dyDescent="0.2">
      <c r="A6" s="144" t="s">
        <v>187</v>
      </c>
    </row>
    <row r="7" spans="1:1" ht="38.25" x14ac:dyDescent="0.2">
      <c r="A7" s="144" t="s">
        <v>188</v>
      </c>
    </row>
    <row r="8" spans="1:1" ht="25.5" x14ac:dyDescent="0.2">
      <c r="A8" s="144" t="s">
        <v>189</v>
      </c>
    </row>
    <row r="9" spans="1:1" ht="25.5" x14ac:dyDescent="0.2">
      <c r="A9" s="144" t="s">
        <v>190</v>
      </c>
    </row>
    <row r="10" spans="1:1" ht="25.5" x14ac:dyDescent="0.2">
      <c r="A10" s="144" t="s">
        <v>191</v>
      </c>
    </row>
    <row r="11" spans="1:1" ht="25.5" x14ac:dyDescent="0.2">
      <c r="A11" s="144" t="s">
        <v>192</v>
      </c>
    </row>
    <row r="12" spans="1:1" ht="13.5" x14ac:dyDescent="0.2">
      <c r="A12" s="14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1AAFE-1AB2-47D4-AB34-CF01CE1B7D55}">
  <dimension ref="A1:BQ127"/>
  <sheetViews>
    <sheetView topLeftCell="AD9" workbookViewId="0">
      <selection activeCell="AK14" activeCellId="1" sqref="AH14:AH29 AK14:AM29"/>
    </sheetView>
  </sheetViews>
  <sheetFormatPr baseColWidth="10" defaultRowHeight="15" x14ac:dyDescent="0.25"/>
  <sheetData>
    <row r="1" spans="1:69" x14ac:dyDescent="0.25">
      <c r="A1" t="s">
        <v>1</v>
      </c>
      <c r="B1" t="s">
        <v>0</v>
      </c>
      <c r="C1" t="s">
        <v>27</v>
      </c>
      <c r="D1" t="s">
        <v>27</v>
      </c>
      <c r="BI1" t="s">
        <v>2</v>
      </c>
    </row>
    <row r="2" spans="1:69" x14ac:dyDescent="0.25">
      <c r="A2">
        <v>1</v>
      </c>
      <c r="B2" t="s">
        <v>6</v>
      </c>
      <c r="C2">
        <v>73.423124999999999</v>
      </c>
      <c r="D2">
        <v>73.423124999999999</v>
      </c>
      <c r="F2" t="s">
        <v>69</v>
      </c>
      <c r="BI2">
        <v>20.61</v>
      </c>
    </row>
    <row r="3" spans="1:69" x14ac:dyDescent="0.25">
      <c r="A3">
        <v>2</v>
      </c>
      <c r="B3" t="s">
        <v>6</v>
      </c>
      <c r="C3">
        <v>93.266249999999999</v>
      </c>
      <c r="D3">
        <v>93.266249999999999</v>
      </c>
      <c r="BI3">
        <v>26.18</v>
      </c>
    </row>
    <row r="4" spans="1:69" ht="15.75" thickBot="1" x14ac:dyDescent="0.3">
      <c r="A4">
        <v>3</v>
      </c>
      <c r="B4" t="s">
        <v>6</v>
      </c>
      <c r="C4">
        <v>108.90562500000001</v>
      </c>
      <c r="D4">
        <v>108.90562500000001</v>
      </c>
      <c r="F4" t="str">
        <f t="array" ref="F4:K14">[1]!StdAnova1(B2:D61)</f>
        <v>BFF</v>
      </c>
      <c r="G4" t="str">
        <v>BFFR</v>
      </c>
      <c r="H4" t="str">
        <v>BFFRW</v>
      </c>
      <c r="I4" t="str">
        <v>EF</v>
      </c>
      <c r="J4" t="str">
        <v>EFR</v>
      </c>
      <c r="K4" t="str">
        <v>EFRW</v>
      </c>
      <c r="M4" t="s">
        <v>70</v>
      </c>
      <c r="W4" t="s">
        <v>94</v>
      </c>
      <c r="AF4" t="s">
        <v>104</v>
      </c>
      <c r="AI4" t="s">
        <v>102</v>
      </c>
      <c r="AJ4">
        <v>0.05</v>
      </c>
      <c r="AQ4" t="s">
        <v>119</v>
      </c>
      <c r="AT4" t="s">
        <v>102</v>
      </c>
      <c r="AU4">
        <v>0.05</v>
      </c>
      <c r="BI4">
        <v>30.57</v>
      </c>
      <c r="BL4" t="s">
        <v>6</v>
      </c>
      <c r="BM4" t="s">
        <v>7</v>
      </c>
      <c r="BN4" t="s">
        <v>63</v>
      </c>
      <c r="BO4" t="s">
        <v>8</v>
      </c>
      <c r="BP4" t="s">
        <v>9</v>
      </c>
      <c r="BQ4" t="s">
        <v>64</v>
      </c>
    </row>
    <row r="5" spans="1:69" ht="15.75" thickTop="1" x14ac:dyDescent="0.25">
      <c r="A5">
        <v>4</v>
      </c>
      <c r="B5" t="s">
        <v>6</v>
      </c>
      <c r="C5">
        <v>106.51875000000001</v>
      </c>
      <c r="D5">
        <v>106.51875000000001</v>
      </c>
      <c r="F5" s="103">
        <v>73.423124999999999</v>
      </c>
      <c r="G5" s="104">
        <v>134.05687499999999</v>
      </c>
      <c r="H5" s="104">
        <v>137.40562500000001</v>
      </c>
      <c r="I5" s="104">
        <v>107.623125</v>
      </c>
      <c r="J5" s="104">
        <v>105.699375</v>
      </c>
      <c r="K5" s="105">
        <v>88.955624999999998</v>
      </c>
      <c r="AF5" s="111" t="s">
        <v>105</v>
      </c>
      <c r="AG5" s="111" t="s">
        <v>106</v>
      </c>
      <c r="AH5" s="111" t="s">
        <v>107</v>
      </c>
      <c r="AI5" s="111" t="s">
        <v>108</v>
      </c>
      <c r="AJ5" s="111" t="s">
        <v>84</v>
      </c>
      <c r="AK5" s="111" t="s">
        <v>109</v>
      </c>
      <c r="AQ5" s="111" t="s">
        <v>105</v>
      </c>
      <c r="AR5" s="111" t="s">
        <v>120</v>
      </c>
      <c r="AS5" s="111" t="s">
        <v>121</v>
      </c>
      <c r="AT5" s="111" t="s">
        <v>122</v>
      </c>
      <c r="AU5" s="111" t="s">
        <v>109</v>
      </c>
      <c r="BI5">
        <v>29.9</v>
      </c>
      <c r="BL5" s="103">
        <v>20.61</v>
      </c>
      <c r="BM5" s="104">
        <v>37.630000000000003</v>
      </c>
      <c r="BN5" s="104">
        <v>38.57</v>
      </c>
      <c r="BO5" s="104">
        <v>30.21</v>
      </c>
      <c r="BP5" s="104">
        <v>29.67</v>
      </c>
      <c r="BQ5" s="105">
        <v>24.97</v>
      </c>
    </row>
    <row r="6" spans="1:69" ht="15.75" thickBot="1" x14ac:dyDescent="0.3">
      <c r="A6">
        <v>5</v>
      </c>
      <c r="B6" t="s">
        <v>6</v>
      </c>
      <c r="C6">
        <v>93.337500000000006</v>
      </c>
      <c r="D6">
        <v>93.337500000000006</v>
      </c>
      <c r="F6" s="106">
        <v>93.266249999999999</v>
      </c>
      <c r="G6">
        <v>132.06187500000001</v>
      </c>
      <c r="H6">
        <v>157.17750000000001</v>
      </c>
      <c r="I6">
        <v>111.470625</v>
      </c>
      <c r="J6">
        <v>97.398750000000007</v>
      </c>
      <c r="K6" s="107">
        <v>133.27312499999999</v>
      </c>
      <c r="M6" t="s">
        <v>71</v>
      </c>
      <c r="R6" t="s">
        <v>72</v>
      </c>
      <c r="S6">
        <v>0.05</v>
      </c>
      <c r="X6" t="str">
        <f>F4</f>
        <v>BFF</v>
      </c>
      <c r="Y6" t="str">
        <f t="shared" ref="Y6:AC6" si="0">G4</f>
        <v>BFFR</v>
      </c>
      <c r="Z6" t="str">
        <f t="shared" si="0"/>
        <v>BFFRW</v>
      </c>
      <c r="AA6" t="str">
        <f t="shared" si="0"/>
        <v>EF</v>
      </c>
      <c r="AB6" t="str">
        <f t="shared" si="0"/>
        <v>EFR</v>
      </c>
      <c r="AC6" t="str">
        <f t="shared" si="0"/>
        <v>EFRW</v>
      </c>
      <c r="AF6" t="str">
        <f>F4</f>
        <v>BFF</v>
      </c>
      <c r="AG6">
        <f>AVERAGE(F5:F14)</f>
        <v>93.280500000000004</v>
      </c>
      <c r="AH6">
        <f>COUNT(F5:F14)</f>
        <v>10</v>
      </c>
      <c r="AI6">
        <f>DEVSQ(F5:F14)</f>
        <v>1235.1484701562506</v>
      </c>
      <c r="AQ6" t="str">
        <f>F4</f>
        <v>BFF</v>
      </c>
      <c r="AR6">
        <f>[1]!RANK_SUM(F5:K14,1,1)</f>
        <v>121</v>
      </c>
      <c r="AS6">
        <f>COUNT(F5:F14)</f>
        <v>10</v>
      </c>
      <c r="AT6">
        <f t="shared" ref="AT6:AT11" si="1">AR6/AS6</f>
        <v>12.1</v>
      </c>
      <c r="BI6">
        <v>26.2</v>
      </c>
      <c r="BL6" s="106">
        <v>26.18</v>
      </c>
      <c r="BM6">
        <v>37.07</v>
      </c>
      <c r="BN6">
        <v>44.12</v>
      </c>
      <c r="BO6">
        <v>31.29</v>
      </c>
      <c r="BP6">
        <v>27.34</v>
      </c>
      <c r="BQ6" s="107">
        <v>37.409999999999997</v>
      </c>
    </row>
    <row r="7" spans="1:69" ht="15.75" thickTop="1" x14ac:dyDescent="0.25">
      <c r="A7">
        <v>6</v>
      </c>
      <c r="B7" t="s">
        <v>6</v>
      </c>
      <c r="C7">
        <v>84.965625000000003</v>
      </c>
      <c r="D7">
        <v>84.965625000000003</v>
      </c>
      <c r="F7" s="106">
        <v>108.90562500000001</v>
      </c>
      <c r="G7">
        <v>120.34125</v>
      </c>
      <c r="H7">
        <v>117.77625000000002</v>
      </c>
      <c r="I7">
        <v>99.429374999999993</v>
      </c>
      <c r="J7">
        <v>101.424375</v>
      </c>
      <c r="K7" s="107">
        <v>154.861875</v>
      </c>
      <c r="M7" s="111" t="s">
        <v>73</v>
      </c>
      <c r="N7" s="111" t="s">
        <v>74</v>
      </c>
      <c r="O7" s="111" t="s">
        <v>75</v>
      </c>
      <c r="P7" s="111" t="s">
        <v>76</v>
      </c>
      <c r="Q7" s="111" t="s">
        <v>77</v>
      </c>
      <c r="R7" s="111" t="s">
        <v>78</v>
      </c>
      <c r="S7" s="111" t="s">
        <v>79</v>
      </c>
      <c r="T7" s="111" t="s">
        <v>80</v>
      </c>
      <c r="U7" s="111" t="s">
        <v>81</v>
      </c>
      <c r="W7" t="s">
        <v>95</v>
      </c>
      <c r="X7" s="103">
        <f>MEDIAN(F5:F14)</f>
        <v>93.301874999999995</v>
      </c>
      <c r="Y7" s="104">
        <f t="shared" ref="Y7:AC7" si="2">MEDIAN(G5:G14)</f>
        <v>119.52187500000001</v>
      </c>
      <c r="Z7" s="104">
        <f t="shared" si="2"/>
        <v>128.28562500000001</v>
      </c>
      <c r="AA7" s="104">
        <f t="shared" si="2"/>
        <v>113.67937499999999</v>
      </c>
      <c r="AB7" s="104">
        <f t="shared" si="2"/>
        <v>99.482812499999994</v>
      </c>
      <c r="AC7" s="105">
        <f t="shared" si="2"/>
        <v>128.855625</v>
      </c>
      <c r="AF7" t="str">
        <f>G4</f>
        <v>BFFR</v>
      </c>
      <c r="AG7">
        <f>AVERAGE(G5:G14)</f>
        <v>117.87956249999999</v>
      </c>
      <c r="AH7">
        <f>COUNT(G5:G14)</f>
        <v>10</v>
      </c>
      <c r="AI7">
        <f>DEVSQ(G5:G14)</f>
        <v>1992.3564758203129</v>
      </c>
      <c r="AQ7" t="str">
        <f>G4</f>
        <v>BFFR</v>
      </c>
      <c r="AR7">
        <f>[1]!RANK_SUM(F5:K14,2,1)</f>
        <v>348</v>
      </c>
      <c r="AS7">
        <f>COUNT(G5:G14)</f>
        <v>10</v>
      </c>
      <c r="AT7">
        <f t="shared" si="1"/>
        <v>34.799999999999997</v>
      </c>
      <c r="BI7">
        <v>23.85</v>
      </c>
      <c r="BL7" s="106">
        <v>30.57</v>
      </c>
      <c r="BM7">
        <v>33.78</v>
      </c>
      <c r="BN7">
        <v>33.06</v>
      </c>
      <c r="BO7">
        <v>27.91</v>
      </c>
      <c r="BP7">
        <v>28.47</v>
      </c>
      <c r="BQ7" s="107">
        <v>43.47</v>
      </c>
    </row>
    <row r="8" spans="1:69" x14ac:dyDescent="0.25">
      <c r="A8">
        <v>7</v>
      </c>
      <c r="B8" t="s">
        <v>6</v>
      </c>
      <c r="C8">
        <v>80.583750000000009</v>
      </c>
      <c r="D8">
        <v>80.583750000000009</v>
      </c>
      <c r="F8" s="106">
        <v>106.51875000000001</v>
      </c>
      <c r="G8">
        <v>118.70250000000001</v>
      </c>
      <c r="H8">
        <v>139.614375</v>
      </c>
      <c r="I8">
        <v>106.16250000000001</v>
      </c>
      <c r="J8">
        <v>87.495000000000005</v>
      </c>
      <c r="K8" s="107">
        <v>119.09437499999999</v>
      </c>
      <c r="M8" t="str">
        <f>F4</f>
        <v>BFF</v>
      </c>
      <c r="N8">
        <f>COUNT(F5:F14)</f>
        <v>10</v>
      </c>
      <c r="O8">
        <f>SUM(F5:F14)</f>
        <v>932.80500000000006</v>
      </c>
      <c r="P8">
        <f>AVERAGE(F5:F14)</f>
        <v>93.280500000000004</v>
      </c>
      <c r="Q8">
        <f>_xlfn.VAR.S(F5:F14)</f>
        <v>137.23871890624935</v>
      </c>
      <c r="R8">
        <f>DEVSQ(F5:F14)</f>
        <v>1235.1484701562506</v>
      </c>
      <c r="S8">
        <f>SQRT(P18/N8)</f>
        <v>4.1749636414646876</v>
      </c>
      <c r="T8">
        <f>P8-S8*_xlfn.T.INV.2T(S6,O18)</f>
        <v>84.910201866289256</v>
      </c>
      <c r="U8">
        <f>P8+S8*_xlfn.T.INV.2T(S6,O18)</f>
        <v>101.65079813371075</v>
      </c>
      <c r="W8" t="s">
        <v>96</v>
      </c>
      <c r="X8" s="106">
        <f>[1]!RANK_SUM(F5:K14, 1,1)</f>
        <v>121</v>
      </c>
      <c r="Y8">
        <f>[1]!RANK_SUM(F5:K14, 2,1)</f>
        <v>348</v>
      </c>
      <c r="Z8">
        <f>[1]!RANK_SUM(F5:K14, 3,1)</f>
        <v>469</v>
      </c>
      <c r="AA8">
        <f>[1]!RANK_SUM(F5:K14, 4,1)</f>
        <v>304</v>
      </c>
      <c r="AB8">
        <f>[1]!RANK_SUM(F5:K14, 5,1)</f>
        <v>157</v>
      </c>
      <c r="AC8" s="107">
        <f>[1]!RANK_SUM(F5:K14, 6,1)</f>
        <v>431</v>
      </c>
      <c r="AF8" t="str">
        <f>H4</f>
        <v>BFFRW</v>
      </c>
      <c r="AG8">
        <f>AVERAGE(H5:H14)</f>
        <v>131.83387499999998</v>
      </c>
      <c r="AH8">
        <f>COUNT(H5:H14)</f>
        <v>10</v>
      </c>
      <c r="AI8">
        <f>DEVSQ(H5:H14)</f>
        <v>1790.7553912499993</v>
      </c>
      <c r="AQ8" t="str">
        <f>H4</f>
        <v>BFFRW</v>
      </c>
      <c r="AR8">
        <f>[1]!RANK_SUM(F5:K14,3,1)</f>
        <v>469</v>
      </c>
      <c r="AS8">
        <f>COUNT(H5:H14)</f>
        <v>10</v>
      </c>
      <c r="AT8">
        <f t="shared" si="1"/>
        <v>46.9</v>
      </c>
      <c r="BI8">
        <v>22.62</v>
      </c>
      <c r="BL8" s="106">
        <v>29.9</v>
      </c>
      <c r="BM8">
        <v>33.32</v>
      </c>
      <c r="BN8">
        <v>39.19</v>
      </c>
      <c r="BO8">
        <v>29.8</v>
      </c>
      <c r="BP8">
        <v>24.56</v>
      </c>
      <c r="BQ8" s="107">
        <v>33.43</v>
      </c>
    </row>
    <row r="9" spans="1:69" x14ac:dyDescent="0.25">
      <c r="A9">
        <v>8</v>
      </c>
      <c r="B9" t="s">
        <v>6</v>
      </c>
      <c r="C9">
        <v>91.449375000000003</v>
      </c>
      <c r="D9">
        <v>91.449375000000003</v>
      </c>
      <c r="F9" s="106">
        <v>93.337500000000006</v>
      </c>
      <c r="G9">
        <v>92.625</v>
      </c>
      <c r="H9">
        <v>120.1275</v>
      </c>
      <c r="I9">
        <v>103.74</v>
      </c>
      <c r="J9">
        <v>97.541250000000005</v>
      </c>
      <c r="K9" s="107">
        <v>135.83812499999999</v>
      </c>
      <c r="M9" t="str">
        <f>G4</f>
        <v>BFFR</v>
      </c>
      <c r="N9">
        <f>COUNT(G5:G14)</f>
        <v>10</v>
      </c>
      <c r="O9">
        <f>SUM(G5:G14)</f>
        <v>1178.795625</v>
      </c>
      <c r="P9">
        <f>AVERAGE(G5:G14)</f>
        <v>117.87956249999999</v>
      </c>
      <c r="Q9">
        <f>_xlfn.VAR.S(G5:G14)</f>
        <v>221.37294175781426</v>
      </c>
      <c r="R9">
        <f>DEVSQ(G5:G14)</f>
        <v>1992.3564758203129</v>
      </c>
      <c r="S9">
        <f>SQRT(P18/N9)</f>
        <v>4.1749636414646876</v>
      </c>
      <c r="T9">
        <f>P9-S9*_xlfn.T.INV.2T(S6,O18)</f>
        <v>109.50926436628924</v>
      </c>
      <c r="U9">
        <f>P9+S9*_xlfn.T.INV.2T(S6,O18)</f>
        <v>126.24986063371074</v>
      </c>
      <c r="W9" t="s">
        <v>97</v>
      </c>
      <c r="X9" s="106">
        <f>COUNT(F5:F14)</f>
        <v>10</v>
      </c>
      <c r="Y9">
        <f t="shared" ref="Y9:AC9" si="3">COUNT(G5:G14)</f>
        <v>10</v>
      </c>
      <c r="Z9">
        <f t="shared" si="3"/>
        <v>10</v>
      </c>
      <c r="AA9">
        <f t="shared" si="3"/>
        <v>10</v>
      </c>
      <c r="AB9">
        <f t="shared" si="3"/>
        <v>10</v>
      </c>
      <c r="AC9" s="107">
        <f t="shared" si="3"/>
        <v>10</v>
      </c>
      <c r="AD9" s="113">
        <f>SUM(X9:AC9)</f>
        <v>60</v>
      </c>
      <c r="AF9" t="str">
        <f>I4</f>
        <v>EF</v>
      </c>
      <c r="AG9">
        <f>AVERAGE(I5:I14)</f>
        <v>113.63306250000001</v>
      </c>
      <c r="AH9">
        <f>COUNT(I5:I14)</f>
        <v>10</v>
      </c>
      <c r="AI9">
        <f>DEVSQ(I5:I14)</f>
        <v>819.7761308203128</v>
      </c>
      <c r="AQ9" t="str">
        <f>I4</f>
        <v>EF</v>
      </c>
      <c r="AR9">
        <f>[1]!RANK_SUM(F5:K14,4,1)</f>
        <v>304</v>
      </c>
      <c r="AS9">
        <f>COUNT(I5:I14)</f>
        <v>10</v>
      </c>
      <c r="AT9">
        <f t="shared" si="1"/>
        <v>30.4</v>
      </c>
      <c r="BI9">
        <v>25.67</v>
      </c>
      <c r="BL9" s="106">
        <v>26.2</v>
      </c>
      <c r="BM9">
        <v>26</v>
      </c>
      <c r="BN9">
        <v>33.72</v>
      </c>
      <c r="BO9">
        <v>29.12</v>
      </c>
      <c r="BP9">
        <v>27.38</v>
      </c>
      <c r="BQ9" s="107">
        <v>38.130000000000003</v>
      </c>
    </row>
    <row r="10" spans="1:69" x14ac:dyDescent="0.25">
      <c r="A10">
        <v>9</v>
      </c>
      <c r="B10" t="s">
        <v>6</v>
      </c>
      <c r="C10">
        <v>93.373125000000002</v>
      </c>
      <c r="D10">
        <v>93.373125000000002</v>
      </c>
      <c r="F10" s="106">
        <v>84.965625000000003</v>
      </c>
      <c r="G10">
        <v>102.17249999999999</v>
      </c>
      <c r="H10">
        <v>129.354375</v>
      </c>
      <c r="I10">
        <v>117.669375</v>
      </c>
      <c r="J10">
        <v>104.345625</v>
      </c>
      <c r="K10" s="107">
        <v>118.88062499999999</v>
      </c>
      <c r="M10" t="str">
        <f>H4</f>
        <v>BFFRW</v>
      </c>
      <c r="N10">
        <f>COUNT(H5:H14)</f>
        <v>10</v>
      </c>
      <c r="O10">
        <f>SUM(H5:H14)</f>
        <v>1318.3387499999999</v>
      </c>
      <c r="P10">
        <f>AVERAGE(H5:H14)</f>
        <v>131.83387499999998</v>
      </c>
      <c r="Q10">
        <f>_xlfn.VAR.S(H5:H14)</f>
        <v>198.97282125000493</v>
      </c>
      <c r="R10">
        <f>DEVSQ(H5:H14)</f>
        <v>1790.7553912499993</v>
      </c>
      <c r="S10">
        <f>SQRT(P18/N10)</f>
        <v>4.1749636414646876</v>
      </c>
      <c r="T10">
        <f>P10-S10*_xlfn.T.INV.2T(S6,O18)</f>
        <v>123.46357686628923</v>
      </c>
      <c r="U10">
        <f>P10+S10*_xlfn.T.INV.2T(S6,O18)</f>
        <v>140.20417313371073</v>
      </c>
      <c r="W10" t="s">
        <v>98</v>
      </c>
      <c r="X10" s="108">
        <f>X8^2/X9</f>
        <v>1464.1</v>
      </c>
      <c r="Y10" s="109">
        <f t="shared" ref="Y10:AC10" si="4">Y8^2/Y9</f>
        <v>12110.4</v>
      </c>
      <c r="Z10" s="109">
        <f t="shared" si="4"/>
        <v>21996.1</v>
      </c>
      <c r="AA10" s="109">
        <f t="shared" si="4"/>
        <v>9241.6</v>
      </c>
      <c r="AB10" s="109">
        <f t="shared" si="4"/>
        <v>2464.9</v>
      </c>
      <c r="AC10" s="110">
        <f t="shared" si="4"/>
        <v>18576.099999999999</v>
      </c>
      <c r="AD10" s="114">
        <f>SUM(X10:AC10)</f>
        <v>65853.2</v>
      </c>
      <c r="AF10" t="str">
        <f>J4</f>
        <v>EFR</v>
      </c>
      <c r="AG10">
        <f>AVERAGE(J5:J14)</f>
        <v>99.343875000000011</v>
      </c>
      <c r="AH10">
        <f>COUNT(J5:J14)</f>
        <v>10</v>
      </c>
      <c r="AI10">
        <f>DEVSQ(J5:J14)</f>
        <v>825.29727328125</v>
      </c>
      <c r="AQ10" t="str">
        <f>J4</f>
        <v>EFR</v>
      </c>
      <c r="AR10">
        <f>[1]!RANK_SUM(F5:K14,5,1)</f>
        <v>157</v>
      </c>
      <c r="AS10">
        <f>COUNT(J5:J14)</f>
        <v>10</v>
      </c>
      <c r="AT10">
        <f t="shared" si="1"/>
        <v>15.7</v>
      </c>
      <c r="BI10">
        <v>26.21</v>
      </c>
      <c r="BL10" s="106">
        <v>23.85</v>
      </c>
      <c r="BM10">
        <v>28.68</v>
      </c>
      <c r="BN10">
        <v>36.31</v>
      </c>
      <c r="BO10">
        <v>33.03</v>
      </c>
      <c r="BP10">
        <v>29.29</v>
      </c>
      <c r="BQ10" s="107">
        <v>33.369999999999997</v>
      </c>
    </row>
    <row r="11" spans="1:69" x14ac:dyDescent="0.25">
      <c r="A11">
        <v>10</v>
      </c>
      <c r="B11" t="s">
        <v>6</v>
      </c>
      <c r="C11">
        <v>106.981875</v>
      </c>
      <c r="D11">
        <v>106.981875</v>
      </c>
      <c r="F11" s="106">
        <v>80.583750000000009</v>
      </c>
      <c r="G11">
        <v>114.07125000000002</v>
      </c>
      <c r="H11">
        <v>113.03812500000001</v>
      </c>
      <c r="I11">
        <v>125.79187500000002</v>
      </c>
      <c r="J11">
        <v>115.92375</v>
      </c>
      <c r="K11" s="107">
        <v>131.705625</v>
      </c>
      <c r="M11" t="str">
        <f>I4</f>
        <v>EF</v>
      </c>
      <c r="N11">
        <f>COUNT(I5:I14)</f>
        <v>10</v>
      </c>
      <c r="O11">
        <f>SUM(I5:I14)</f>
        <v>1136.3306250000001</v>
      </c>
      <c r="P11">
        <f>AVERAGE(I5:I14)</f>
        <v>113.63306250000001</v>
      </c>
      <c r="Q11">
        <f>_xlfn.VAR.S(I5:I14)</f>
        <v>91.086236757812529</v>
      </c>
      <c r="R11">
        <f>DEVSQ(I5:I14)</f>
        <v>819.7761308203128</v>
      </c>
      <c r="S11">
        <f>SQRT(P18/N11)</f>
        <v>4.1749636414646876</v>
      </c>
      <c r="T11">
        <f>P11-S11*_xlfn.T.INV.2T(S6,O18)</f>
        <v>105.26276436628926</v>
      </c>
      <c r="U11">
        <f>P11+S11*_xlfn.T.INV.2T(S6,O18)</f>
        <v>122.00336063371076</v>
      </c>
      <c r="W11" t="s">
        <v>99</v>
      </c>
      <c r="AD11" s="114">
        <f>12*AD10/(AD9*(AD9+1))-3*(AD9+1)</f>
        <v>32.912131147540947</v>
      </c>
      <c r="AF11" t="str">
        <f>K4</f>
        <v>EFRW</v>
      </c>
      <c r="AG11">
        <f>AVERAGE(K5:K14)</f>
        <v>126.825</v>
      </c>
      <c r="AH11">
        <f>COUNT(K5:K14)</f>
        <v>10</v>
      </c>
      <c r="AI11">
        <f>DEVSQ(K5:K14)</f>
        <v>2749.0398187500009</v>
      </c>
      <c r="AQ11" t="str">
        <f>K4</f>
        <v>EFRW</v>
      </c>
      <c r="AR11">
        <f>[1]!RANK_SUM(F5:K14,6,1)</f>
        <v>431</v>
      </c>
      <c r="AS11">
        <f>COUNT(K5:K14)</f>
        <v>10</v>
      </c>
      <c r="AT11">
        <f t="shared" si="1"/>
        <v>43.1</v>
      </c>
      <c r="BI11">
        <v>30.03</v>
      </c>
      <c r="BL11" s="106">
        <v>22.62</v>
      </c>
      <c r="BM11">
        <v>32.020000000000003</v>
      </c>
      <c r="BN11">
        <v>31.73</v>
      </c>
      <c r="BO11">
        <v>35.31</v>
      </c>
      <c r="BP11">
        <v>32.54</v>
      </c>
      <c r="BQ11" s="107">
        <v>36.97</v>
      </c>
    </row>
    <row r="12" spans="1:69" x14ac:dyDescent="0.25">
      <c r="A12">
        <v>11</v>
      </c>
      <c r="B12" t="s">
        <v>7</v>
      </c>
      <c r="C12">
        <v>134.05687499999999</v>
      </c>
      <c r="D12">
        <v>134.05687499999999</v>
      </c>
      <c r="F12" s="106">
        <v>91.449375000000003</v>
      </c>
      <c r="G12">
        <v>123.61875000000001</v>
      </c>
      <c r="H12">
        <v>127.216875</v>
      </c>
      <c r="I12">
        <v>115.888125</v>
      </c>
      <c r="J12">
        <v>107.80125000000001</v>
      </c>
      <c r="K12" s="107">
        <v>118.845</v>
      </c>
      <c r="M12" t="str">
        <f>J4</f>
        <v>EFR</v>
      </c>
      <c r="N12">
        <f>COUNT(J5:J14)</f>
        <v>10</v>
      </c>
      <c r="O12">
        <f>SUM(J5:J14)</f>
        <v>993.43875000000014</v>
      </c>
      <c r="P12">
        <f>AVERAGE(J5:J14)</f>
        <v>99.343875000000011</v>
      </c>
      <c r="Q12">
        <f>_xlfn.VAR.S(J5:J14)</f>
        <v>91.699697031249997</v>
      </c>
      <c r="R12">
        <f>DEVSQ(J5:J14)</f>
        <v>825.29727328125</v>
      </c>
      <c r="S12">
        <f>SQRT(P18/N12)</f>
        <v>4.1749636414646876</v>
      </c>
      <c r="T12">
        <f>P12-S12*_xlfn.T.INV.2T(S6,O18)</f>
        <v>90.973576866289264</v>
      </c>
      <c r="U12">
        <f>P12+S12*_xlfn.T.INV.2T(S6,O18)</f>
        <v>107.71417313371076</v>
      </c>
      <c r="W12" t="s">
        <v>100</v>
      </c>
      <c r="AD12" s="114">
        <f>AD11/(1-[1]!TiesCorrection(F5:K14)/(AD9*(AD9^2-1)))</f>
        <v>32.912131147540947</v>
      </c>
      <c r="AF12" s="21"/>
      <c r="AG12" s="21"/>
      <c r="AH12" s="21">
        <f>SUM(AH6:AH11)</f>
        <v>60</v>
      </c>
      <c r="AI12" s="21">
        <f>SUM(AI6:AI11)</f>
        <v>9412.3735600781256</v>
      </c>
      <c r="AJ12" s="21">
        <f>AH12-COUNT(AH6:AH11)</f>
        <v>54</v>
      </c>
      <c r="AK12" s="21">
        <f>[1]!QCRIT(COUNT(AH6:AH11),AJ12,AJ4,2)</f>
        <v>4.1781111111111109</v>
      </c>
      <c r="AQ12" s="21"/>
      <c r="AR12" s="21"/>
      <c r="AS12" s="21">
        <f>SUM(AS6:AS11)</f>
        <v>60</v>
      </c>
      <c r="AT12" s="21"/>
      <c r="AU12" s="21">
        <f>[1]!QCRIT(COUNT(AS6:AS11),,AU4,2)</f>
        <v>4.03</v>
      </c>
      <c r="BI12">
        <v>37.630000000000003</v>
      </c>
      <c r="BL12" s="106">
        <v>25.67</v>
      </c>
      <c r="BM12">
        <v>34.700000000000003</v>
      </c>
      <c r="BN12">
        <v>35.71</v>
      </c>
      <c r="BO12">
        <v>32.53</v>
      </c>
      <c r="BP12">
        <v>30.26</v>
      </c>
      <c r="BQ12" s="107">
        <v>33.36</v>
      </c>
    </row>
    <row r="13" spans="1:69" ht="15.75" thickBot="1" x14ac:dyDescent="0.3">
      <c r="A13">
        <v>12</v>
      </c>
      <c r="B13" t="s">
        <v>7</v>
      </c>
      <c r="C13">
        <v>132.06187500000001</v>
      </c>
      <c r="D13">
        <v>132.06187500000001</v>
      </c>
      <c r="F13" s="106">
        <v>93.373125000000002</v>
      </c>
      <c r="G13">
        <v>103.5975</v>
      </c>
      <c r="H13">
        <v>126.9675</v>
      </c>
      <c r="I13">
        <v>128.00062499999999</v>
      </c>
      <c r="J13">
        <v>87.886875000000003</v>
      </c>
      <c r="K13" s="107">
        <v>140.79000000000002</v>
      </c>
      <c r="M13" t="str">
        <f>K4</f>
        <v>EFRW</v>
      </c>
      <c r="N13">
        <f>COUNT(K5:K14)</f>
        <v>10</v>
      </c>
      <c r="O13">
        <f>SUM(K5:K14)</f>
        <v>1268.25</v>
      </c>
      <c r="P13">
        <f>AVERAGE(K5:K14)</f>
        <v>126.825</v>
      </c>
      <c r="Q13">
        <f>_xlfn.VAR.S(K5:K14)</f>
        <v>305.44886874999952</v>
      </c>
      <c r="R13">
        <f>DEVSQ(K5:K14)</f>
        <v>2749.0398187500009</v>
      </c>
      <c r="S13">
        <f>SQRT(P18/N13)</f>
        <v>4.1749636414646876</v>
      </c>
      <c r="T13">
        <f>P13-S13*_xlfn.T.INV.2T(S6,O18)</f>
        <v>118.45470186628926</v>
      </c>
      <c r="U13">
        <f>P13+S13*_xlfn.T.INV.2T(S6,O18)</f>
        <v>135.19529813371074</v>
      </c>
      <c r="W13" t="s">
        <v>84</v>
      </c>
      <c r="AD13" s="114">
        <f>COUNTA(X6:AC6)-1</f>
        <v>5</v>
      </c>
      <c r="AF13" t="s">
        <v>110</v>
      </c>
      <c r="AQ13" t="s">
        <v>110</v>
      </c>
      <c r="BI13">
        <v>37.07</v>
      </c>
      <c r="BL13" s="106">
        <v>26.21</v>
      </c>
      <c r="BM13">
        <v>29.08</v>
      </c>
      <c r="BN13">
        <v>35.64</v>
      </c>
      <c r="BO13">
        <v>35.93</v>
      </c>
      <c r="BP13">
        <v>24.67</v>
      </c>
      <c r="BQ13" s="107">
        <v>39.520000000000003</v>
      </c>
    </row>
    <row r="14" spans="1:69" ht="15.75" thickTop="1" x14ac:dyDescent="0.25">
      <c r="A14">
        <v>13</v>
      </c>
      <c r="B14" t="s">
        <v>7</v>
      </c>
      <c r="C14">
        <v>120.34125</v>
      </c>
      <c r="D14">
        <v>120.34125</v>
      </c>
      <c r="F14" s="108">
        <v>106.981875</v>
      </c>
      <c r="G14" s="109">
        <v>137.548125</v>
      </c>
      <c r="H14" s="109">
        <v>149.66062499999998</v>
      </c>
      <c r="I14" s="109">
        <v>120.55500000000001</v>
      </c>
      <c r="J14" s="109">
        <v>87.922499999999999</v>
      </c>
      <c r="K14" s="110">
        <v>126.00562499999999</v>
      </c>
      <c r="M14" s="21"/>
      <c r="N14" s="21"/>
      <c r="O14" s="21"/>
      <c r="P14" s="21"/>
      <c r="Q14" s="21"/>
      <c r="R14" s="21"/>
      <c r="S14" s="21"/>
      <c r="T14" s="21"/>
      <c r="U14" s="21"/>
      <c r="W14" t="s">
        <v>101</v>
      </c>
      <c r="AD14" s="114">
        <f>_xlfn.CHISQ.DIST.RT(AD12,AD13)</f>
        <v>3.9176866050107084E-6</v>
      </c>
      <c r="AF14" s="111" t="s">
        <v>111</v>
      </c>
      <c r="AG14" s="111" t="s">
        <v>112</v>
      </c>
      <c r="AH14" s="111" t="s">
        <v>106</v>
      </c>
      <c r="AI14" s="111" t="s">
        <v>113</v>
      </c>
      <c r="AJ14" s="111" t="s">
        <v>114</v>
      </c>
      <c r="AK14" s="111" t="s">
        <v>115</v>
      </c>
      <c r="AL14" s="111" t="s">
        <v>116</v>
      </c>
      <c r="AM14" s="111" t="s">
        <v>101</v>
      </c>
      <c r="AN14" s="111" t="s">
        <v>117</v>
      </c>
      <c r="AO14" s="111" t="s">
        <v>118</v>
      </c>
      <c r="AQ14" s="111" t="s">
        <v>111</v>
      </c>
      <c r="AR14" s="111" t="s">
        <v>112</v>
      </c>
      <c r="AS14" s="111" t="s">
        <v>122</v>
      </c>
      <c r="AT14" s="111" t="s">
        <v>113</v>
      </c>
      <c r="AU14" s="111" t="s">
        <v>114</v>
      </c>
      <c r="AV14" s="111" t="s">
        <v>101</v>
      </c>
      <c r="AW14" s="111" t="s">
        <v>123</v>
      </c>
      <c r="BI14">
        <v>33.78</v>
      </c>
      <c r="BL14" s="108">
        <v>30.03</v>
      </c>
      <c r="BM14" s="109">
        <v>38.61</v>
      </c>
      <c r="BN14" s="109">
        <v>42.01</v>
      </c>
      <c r="BO14" s="109">
        <v>33.840000000000003</v>
      </c>
      <c r="BP14" s="109">
        <v>24.68</v>
      </c>
      <c r="BQ14" s="110">
        <v>35.369999999999997</v>
      </c>
    </row>
    <row r="15" spans="1:69" ht="15.75" thickBot="1" x14ac:dyDescent="0.3">
      <c r="A15">
        <v>14</v>
      </c>
      <c r="B15" t="s">
        <v>7</v>
      </c>
      <c r="C15">
        <v>118.70250000000001</v>
      </c>
      <c r="D15">
        <v>118.70250000000001</v>
      </c>
      <c r="M15" t="s">
        <v>82</v>
      </c>
      <c r="W15" t="s">
        <v>102</v>
      </c>
      <c r="AD15" s="114">
        <v>0.05</v>
      </c>
      <c r="AF15" s="21" t="str">
        <f>AF6</f>
        <v>BFF</v>
      </c>
      <c r="AG15" s="21" t="str">
        <f>AF7</f>
        <v>BFFR</v>
      </c>
      <c r="AH15" s="21">
        <f>ABS(AG6-AG7)</f>
        <v>24.599062499999988</v>
      </c>
      <c r="AI15" s="21">
        <f>SQRT(AI12/AJ12/HARMEAN(AH6,AH7))</f>
        <v>4.1749636414646876</v>
      </c>
      <c r="AJ15" s="21">
        <f>AH15/AI15</f>
        <v>5.8920423295878059</v>
      </c>
      <c r="AK15" s="21">
        <f>AH15-AI15*AK$12</f>
        <v>7.1556005211114737</v>
      </c>
      <c r="AL15" s="21">
        <f>AH15+AI15*AK$12</f>
        <v>42.042524478888502</v>
      </c>
      <c r="AM15" s="21">
        <f>[1]!QDIST(AJ15,COUNT($AH$6:$AH$11),AJ$12)</f>
        <v>1.5016275800274759E-3</v>
      </c>
      <c r="AN15" s="21">
        <f>AI15*AK$12</f>
        <v>17.443461978888514</v>
      </c>
      <c r="AO15" s="21">
        <f>AH15*SQRT(AJ$12/AI$12)</f>
        <v>1.8632273831621975</v>
      </c>
      <c r="AQ15" s="21" t="str">
        <f>AQ6</f>
        <v>BFF</v>
      </c>
      <c r="AR15" s="21" t="str">
        <f>AQ7</f>
        <v>BFFR</v>
      </c>
      <c r="AS15" s="21">
        <f>ABS(AT6-AT7)</f>
        <v>22.699999999999996</v>
      </c>
      <c r="AT15" s="21">
        <f>SQRT(AS$12*(AS$12+1)/12/HARMEAN(AS6,AS7))</f>
        <v>5.5226805085936306</v>
      </c>
      <c r="AU15" s="21">
        <f>AS15/AT15</f>
        <v>4.1103228703303403</v>
      </c>
      <c r="AV15" s="21">
        <f>[1]!QDIST(AU15,COUNT(AS$6:AS$11))</f>
        <v>4.2841585712984687E-2</v>
      </c>
      <c r="AW15" s="21">
        <f>AT15*AU$12</f>
        <v>22.256402449632333</v>
      </c>
      <c r="BI15">
        <v>33.32</v>
      </c>
    </row>
    <row r="16" spans="1:69" ht="15.75" thickTop="1" x14ac:dyDescent="0.25">
      <c r="A16">
        <v>15</v>
      </c>
      <c r="B16" t="s">
        <v>7</v>
      </c>
      <c r="C16">
        <v>92.625</v>
      </c>
      <c r="D16">
        <v>92.625</v>
      </c>
      <c r="M16" s="111" t="s">
        <v>83</v>
      </c>
      <c r="N16" s="111" t="s">
        <v>78</v>
      </c>
      <c r="O16" s="111" t="s">
        <v>84</v>
      </c>
      <c r="P16" s="111" t="s">
        <v>85</v>
      </c>
      <c r="Q16" s="111" t="s">
        <v>86</v>
      </c>
      <c r="R16" s="111" t="s">
        <v>87</v>
      </c>
      <c r="S16" s="111" t="s">
        <v>88</v>
      </c>
      <c r="T16" s="111" t="s">
        <v>89</v>
      </c>
      <c r="U16" s="111" t="s">
        <v>90</v>
      </c>
      <c r="W16" t="s">
        <v>103</v>
      </c>
      <c r="AD16" s="115" t="str">
        <f>IF(AD14&lt;AD15,"yes","no")</f>
        <v>yes</v>
      </c>
      <c r="AF16" t="str">
        <f>AF6</f>
        <v>BFF</v>
      </c>
      <c r="AG16" t="str">
        <f>AF8</f>
        <v>BFFRW</v>
      </c>
      <c r="AH16">
        <f>ABS(AG6-AG8)</f>
        <v>38.553374999999974</v>
      </c>
      <c r="AI16">
        <f>SQRT(AI12/AJ12/HARMEAN(AH6,AH8))</f>
        <v>4.1749636414646876</v>
      </c>
      <c r="AJ16">
        <f t="shared" ref="AJ16:AJ29" si="5">AH16/AI16</f>
        <v>9.2344217365386285</v>
      </c>
      <c r="AK16">
        <f t="shared" ref="AK16:AK29" si="6">AH16-AI16*AK$12</f>
        <v>21.10991302111146</v>
      </c>
      <c r="AL16">
        <f t="shared" ref="AL16:AL29" si="7">AH16+AI16*AK$12</f>
        <v>55.996836978888489</v>
      </c>
      <c r="AM16">
        <f>[1]!QDIST(AJ16,COUNT($AH$6:$AH$11),AJ$12)</f>
        <v>3.5081524674129838E-7</v>
      </c>
      <c r="AN16">
        <f t="shared" ref="AN16:AN29" si="8">AI16*AK$12</f>
        <v>17.443461978888514</v>
      </c>
      <c r="AO16">
        <f t="shared" ref="AO16:AO29" si="9">AH16*SQRT(AJ$12/AI$12)</f>
        <v>2.9201805562029395</v>
      </c>
      <c r="AQ16" t="str">
        <f>AQ6</f>
        <v>BFF</v>
      </c>
      <c r="AR16" t="str">
        <f>AQ8</f>
        <v>BFFRW</v>
      </c>
      <c r="AS16">
        <f>ABS(AT6-AT8)</f>
        <v>34.799999999999997</v>
      </c>
      <c r="AT16">
        <f>SQRT(AS$12*(AS$12+1)/12/HARMEAN(AS6,AS8))</f>
        <v>5.5226805085936306</v>
      </c>
      <c r="AU16">
        <f t="shared" ref="AU16:AU29" si="10">AS16/AT16</f>
        <v>6.301287924559289</v>
      </c>
      <c r="AV16">
        <f>[1]!QDIST(AU16,COUNT(AS$6:AS$11))</f>
        <v>1.2761102463243468E-4</v>
      </c>
      <c r="AW16">
        <f t="shared" ref="AW16:AW29" si="11">AT16*AU$12</f>
        <v>22.256402449632333</v>
      </c>
      <c r="BI16">
        <v>26</v>
      </c>
    </row>
    <row r="17" spans="1:61" x14ac:dyDescent="0.25">
      <c r="A17">
        <v>16</v>
      </c>
      <c r="B17" t="s">
        <v>7</v>
      </c>
      <c r="C17">
        <v>102.17249999999999</v>
      </c>
      <c r="D17">
        <v>102.17249999999999</v>
      </c>
      <c r="M17" t="s">
        <v>91</v>
      </c>
      <c r="N17">
        <f>N19-N18</f>
        <v>11415.713982656252</v>
      </c>
      <c r="O17">
        <f>COUNTA(M8:M13)-1</f>
        <v>5</v>
      </c>
      <c r="P17">
        <f>N17/O17</f>
        <v>2283.1427965312505</v>
      </c>
      <c r="Q17">
        <f>P17/P18</f>
        <v>13.098684431269447</v>
      </c>
      <c r="R17">
        <f>_xlfn.F.DIST.RT(Q17,O17,O18)</f>
        <v>2.3254229641984791E-8</v>
      </c>
      <c r="S17">
        <f>N17/N19</f>
        <v>0.54809227967924901</v>
      </c>
      <c r="T17">
        <f>SQRT(DEVSQ(P8:P13)/(P18*O17))</f>
        <v>1.1444948418961716</v>
      </c>
      <c r="U17">
        <f>(N19-O19*P18)/(N19+P18)</f>
        <v>0.50204750660872999</v>
      </c>
      <c r="AF17" t="str">
        <f>AF6</f>
        <v>BFF</v>
      </c>
      <c r="AG17" t="str">
        <f>AF9</f>
        <v>EF</v>
      </c>
      <c r="AH17">
        <f>ABS(AG6-AG9)</f>
        <v>20.352562500000005</v>
      </c>
      <c r="AI17">
        <f>SQRT(AI12/AJ12/HARMEAN(AH6,AH9))</f>
        <v>4.1749636414646876</v>
      </c>
      <c r="AJ17">
        <f t="shared" si="5"/>
        <v>4.8749077232346361</v>
      </c>
      <c r="AK17">
        <f t="shared" si="6"/>
        <v>2.9091005211114904</v>
      </c>
      <c r="AL17">
        <f t="shared" si="7"/>
        <v>37.796024478888519</v>
      </c>
      <c r="AM17">
        <f>[1]!QDIST(AJ17,COUNT($AH$6:$AH$11),AJ$12)</f>
        <v>1.3383745082881315E-2</v>
      </c>
      <c r="AN17">
        <f t="shared" si="8"/>
        <v>17.443461978888514</v>
      </c>
      <c r="AO17">
        <f t="shared" si="9"/>
        <v>1.5415811788567184</v>
      </c>
      <c r="AQ17" t="str">
        <f>AQ6</f>
        <v>BFF</v>
      </c>
      <c r="AR17" t="str">
        <f>AQ9</f>
        <v>EF</v>
      </c>
      <c r="AS17">
        <f>ABS(AT6-AT9)</f>
        <v>18.299999999999997</v>
      </c>
      <c r="AT17">
        <f>SQRT(AS$12*(AS$12+1)/12/HARMEAN(AS6,AS9))</f>
        <v>5.5226805085936306</v>
      </c>
      <c r="AU17">
        <f t="shared" si="10"/>
        <v>3.3136083051561775</v>
      </c>
      <c r="AV17">
        <f>[1]!QDIST(AU17,COUNT(AS$6:AS$11))</f>
        <v>0.1773444142539754</v>
      </c>
      <c r="AW17">
        <f t="shared" si="11"/>
        <v>22.256402449632333</v>
      </c>
      <c r="BI17">
        <v>28.68</v>
      </c>
    </row>
    <row r="18" spans="1:61" x14ac:dyDescent="0.25">
      <c r="A18">
        <v>17</v>
      </c>
      <c r="B18" t="s">
        <v>7</v>
      </c>
      <c r="C18">
        <v>114.07125000000002</v>
      </c>
      <c r="D18">
        <v>114.07125000000002</v>
      </c>
      <c r="M18" t="s">
        <v>92</v>
      </c>
      <c r="N18">
        <f>SUM(R8:R13)</f>
        <v>9412.3735600781256</v>
      </c>
      <c r="O18">
        <f>O19-O17</f>
        <v>54</v>
      </c>
      <c r="P18">
        <f>N18/O18</f>
        <v>174.30321407552086</v>
      </c>
      <c r="AF18" t="str">
        <f>AF6</f>
        <v>BFF</v>
      </c>
      <c r="AG18" t="str">
        <f>AF10</f>
        <v>EFR</v>
      </c>
      <c r="AH18">
        <f>ABS(AG6-AG10)</f>
        <v>6.0633750000000077</v>
      </c>
      <c r="AI18">
        <f>SQRT(AI12/AJ12/HARMEAN(AH6,AH10))</f>
        <v>4.1749636414646876</v>
      </c>
      <c r="AJ18">
        <f t="shared" si="5"/>
        <v>1.4523180369237456</v>
      </c>
      <c r="AK18">
        <f t="shared" si="6"/>
        <v>-11.380086978888507</v>
      </c>
      <c r="AL18">
        <f t="shared" si="7"/>
        <v>23.506836978888522</v>
      </c>
      <c r="AM18">
        <f>[1]!QDIST(AJ18,COUNT($AH$6:$AH$11),AJ$12)</f>
        <v>0.90681478387662018</v>
      </c>
      <c r="AN18">
        <f t="shared" si="8"/>
        <v>17.443461978888514</v>
      </c>
      <c r="AO18">
        <f t="shared" si="9"/>
        <v>0.45926328836235564</v>
      </c>
      <c r="AQ18" t="str">
        <f>AQ6</f>
        <v>BFF</v>
      </c>
      <c r="AR18" t="str">
        <f>AQ10</f>
        <v>EFR</v>
      </c>
      <c r="AS18">
        <f>ABS(AT6-AT10)</f>
        <v>3.5999999999999996</v>
      </c>
      <c r="AT18">
        <f>SQRT(AS$12*(AS$12+1)/12/HARMEAN(AS6,AS10))</f>
        <v>5.5226805085936306</v>
      </c>
      <c r="AU18">
        <f t="shared" si="10"/>
        <v>0.65185737150613332</v>
      </c>
      <c r="AV18">
        <f>[1]!QDIST(AU18,COUNT(AS$6:AS$11))</f>
        <v>0.99740510345335931</v>
      </c>
      <c r="AW18">
        <f t="shared" si="11"/>
        <v>22.256402449632333</v>
      </c>
      <c r="BI18">
        <v>32.020000000000003</v>
      </c>
    </row>
    <row r="19" spans="1:61" x14ac:dyDescent="0.25">
      <c r="A19">
        <v>18</v>
      </c>
      <c r="B19" t="s">
        <v>7</v>
      </c>
      <c r="C19">
        <v>123.61875000000001</v>
      </c>
      <c r="D19">
        <v>123.61875000000001</v>
      </c>
      <c r="M19" s="19" t="s">
        <v>93</v>
      </c>
      <c r="N19" s="19">
        <f>DEVSQ(F5:K14)</f>
        <v>20828.087542734378</v>
      </c>
      <c r="O19" s="19">
        <f>COUNT(F5:K14)-1</f>
        <v>59</v>
      </c>
      <c r="P19" s="19">
        <f>N19/O19</f>
        <v>353.01843292770133</v>
      </c>
      <c r="Q19" s="19"/>
      <c r="R19" s="19"/>
      <c r="S19" s="19"/>
      <c r="T19" s="19"/>
      <c r="U19" s="19"/>
      <c r="AF19" t="str">
        <f>AF6</f>
        <v>BFF</v>
      </c>
      <c r="AG19" t="str">
        <f>AF11</f>
        <v>EFRW</v>
      </c>
      <c r="AH19">
        <f>ABS(AG6-AG11)</f>
        <v>33.544499999999999</v>
      </c>
      <c r="AI19">
        <f>SQRT(AI12/AJ12/HARMEAN(AH6,AH11))</f>
        <v>4.1749636414646876</v>
      </c>
      <c r="AJ19">
        <f t="shared" si="5"/>
        <v>8.0346807495146724</v>
      </c>
      <c r="AK19">
        <f t="shared" si="6"/>
        <v>16.101038021111485</v>
      </c>
      <c r="AL19">
        <f t="shared" si="7"/>
        <v>50.987961978888514</v>
      </c>
      <c r="AM19">
        <f>[1]!QDIST(AJ19,COUNT($AH$6:$AH$11),AJ$12)</f>
        <v>7.9603012360651704E-6</v>
      </c>
      <c r="AN19">
        <f t="shared" si="8"/>
        <v>17.443461978888514</v>
      </c>
      <c r="AO19">
        <f t="shared" si="9"/>
        <v>2.5407891440775177</v>
      </c>
      <c r="AQ19" t="str">
        <f>AQ6</f>
        <v>BFF</v>
      </c>
      <c r="AR19" t="str">
        <f>AQ11</f>
        <v>EFRW</v>
      </c>
      <c r="AS19">
        <f>ABS(AT6-AT11)</f>
        <v>31</v>
      </c>
      <c r="AT19">
        <f>SQRT(AS$12*(AS$12+1)/12/HARMEAN(AS6,AS11))</f>
        <v>5.5226805085936306</v>
      </c>
      <c r="AU19">
        <f t="shared" si="10"/>
        <v>5.613216254636149</v>
      </c>
      <c r="AV19">
        <f>[1]!QDIST(AU19,COUNT(AS$6:AS$11))</f>
        <v>1.0475164124110758E-3</v>
      </c>
      <c r="AW19">
        <f t="shared" si="11"/>
        <v>22.256402449632333</v>
      </c>
      <c r="BI19">
        <v>34.700000000000003</v>
      </c>
    </row>
    <row r="20" spans="1:61" x14ac:dyDescent="0.25">
      <c r="A20">
        <v>19</v>
      </c>
      <c r="B20" t="s">
        <v>7</v>
      </c>
      <c r="C20">
        <v>103.5975</v>
      </c>
      <c r="D20">
        <v>103.5975</v>
      </c>
      <c r="AF20" t="str">
        <f>AF7</f>
        <v>BFFR</v>
      </c>
      <c r="AG20" t="str">
        <f>AF8</f>
        <v>BFFRW</v>
      </c>
      <c r="AH20">
        <f>ABS(AG7-AG8)</f>
        <v>13.954312499999986</v>
      </c>
      <c r="AI20">
        <f>SQRT(AI12/AJ12/HARMEAN(AH7,AH8))</f>
        <v>4.1749636414646876</v>
      </c>
      <c r="AJ20">
        <f t="shared" si="5"/>
        <v>3.3423794069508217</v>
      </c>
      <c r="AK20">
        <f t="shared" si="6"/>
        <v>-3.4891494788885282</v>
      </c>
      <c r="AL20">
        <f t="shared" si="7"/>
        <v>31.3977744788885</v>
      </c>
      <c r="AM20">
        <f>[1]!QDIST(AJ20,COUNT($AH$6:$AH$11),AJ$12)</f>
        <v>0.18762288091811108</v>
      </c>
      <c r="AN20">
        <f t="shared" si="8"/>
        <v>17.443461978888514</v>
      </c>
      <c r="AO20">
        <f t="shared" si="9"/>
        <v>1.056953173040742</v>
      </c>
      <c r="AQ20" t="str">
        <f>AQ7</f>
        <v>BFFR</v>
      </c>
      <c r="AR20" t="str">
        <f>AQ8</f>
        <v>BFFRW</v>
      </c>
      <c r="AS20">
        <f>ABS(AT7-AT8)</f>
        <v>12.100000000000001</v>
      </c>
      <c r="AT20">
        <f>SQRT(AS$12*(AS$12+1)/12/HARMEAN(AS7,AS8))</f>
        <v>5.5226805085936306</v>
      </c>
      <c r="AU20">
        <f t="shared" si="10"/>
        <v>2.1909650542289487</v>
      </c>
      <c r="AV20">
        <f>[1]!QDIST(AU20,COUNT(AS$6:AS$11))</f>
        <v>0.63222403852535825</v>
      </c>
      <c r="AW20">
        <f t="shared" si="11"/>
        <v>22.256402449632333</v>
      </c>
      <c r="BI20">
        <v>29.08</v>
      </c>
    </row>
    <row r="21" spans="1:61" x14ac:dyDescent="0.25">
      <c r="A21">
        <v>20</v>
      </c>
      <c r="B21" t="s">
        <v>7</v>
      </c>
      <c r="C21">
        <v>137.548125</v>
      </c>
      <c r="D21">
        <v>137.548125</v>
      </c>
      <c r="AF21" t="str">
        <f>AF7</f>
        <v>BFFR</v>
      </c>
      <c r="AG21" t="str">
        <f>AF9</f>
        <v>EF</v>
      </c>
      <c r="AH21">
        <f>ABS(AG7-AG9)</f>
        <v>4.2464999999999833</v>
      </c>
      <c r="AI21">
        <f>SQRT(AI12/AJ12/HARMEAN(AH7,AH9))</f>
        <v>4.1749636414646876</v>
      </c>
      <c r="AJ21">
        <f t="shared" si="5"/>
        <v>1.0171346063531703</v>
      </c>
      <c r="AK21">
        <f t="shared" si="6"/>
        <v>-13.196961978888531</v>
      </c>
      <c r="AL21">
        <f t="shared" si="7"/>
        <v>21.689961978888498</v>
      </c>
      <c r="AM21">
        <f>[1]!QDIST(AJ21,COUNT($AH$6:$AH$11),AJ$12)</f>
        <v>0.97876644499372212</v>
      </c>
      <c r="AN21">
        <f t="shared" si="8"/>
        <v>17.443461978888514</v>
      </c>
      <c r="AO21">
        <f t="shared" si="9"/>
        <v>0.32164620430547886</v>
      </c>
      <c r="AQ21" t="str">
        <f>AQ7</f>
        <v>BFFR</v>
      </c>
      <c r="AR21" t="str">
        <f>AQ9</f>
        <v>EF</v>
      </c>
      <c r="AS21">
        <f>ABS(AT7-AT9)</f>
        <v>4.3999999999999986</v>
      </c>
      <c r="AT21">
        <f>SQRT(AS$12*(AS$12+1)/12/HARMEAN(AS7,AS9))</f>
        <v>5.5226805085936306</v>
      </c>
      <c r="AU21">
        <f t="shared" si="10"/>
        <v>0.79671456517416284</v>
      </c>
      <c r="AV21">
        <f>[1]!QDIST(AU21,COUNT(AS$6:AS$11))</f>
        <v>0.99331699646118055</v>
      </c>
      <c r="AW21">
        <f t="shared" si="11"/>
        <v>22.256402449632333</v>
      </c>
      <c r="BI21">
        <v>38.61</v>
      </c>
    </row>
    <row r="22" spans="1:61" x14ac:dyDescent="0.25">
      <c r="A22">
        <v>21</v>
      </c>
      <c r="B22" t="s">
        <v>63</v>
      </c>
      <c r="C22">
        <v>137.40562500000001</v>
      </c>
      <c r="D22">
        <v>137.40562500000001</v>
      </c>
      <c r="AF22" t="str">
        <f>AF7</f>
        <v>BFFR</v>
      </c>
      <c r="AG22" t="str">
        <f>AF10</f>
        <v>EFR</v>
      </c>
      <c r="AH22">
        <f>ABS(AG7-AG10)</f>
        <v>18.53568749999998</v>
      </c>
      <c r="AI22">
        <f>SQRT(AI12/AJ12/HARMEAN(AH7,AH10))</f>
        <v>4.1749636414646876</v>
      </c>
      <c r="AJ22">
        <f t="shared" si="5"/>
        <v>4.4397242926640601</v>
      </c>
      <c r="AK22">
        <f t="shared" si="6"/>
        <v>1.092225521111466</v>
      </c>
      <c r="AL22">
        <f t="shared" si="7"/>
        <v>35.979149478888495</v>
      </c>
      <c r="AM22">
        <f>[1]!QDIST(AJ22,COUNT($AH$6:$AH$11),AJ$12)</f>
        <v>3.1113767913266033E-2</v>
      </c>
      <c r="AN22">
        <f t="shared" si="8"/>
        <v>17.443461978888514</v>
      </c>
      <c r="AO22">
        <f t="shared" si="9"/>
        <v>1.4039640947998417</v>
      </c>
      <c r="AQ22" t="str">
        <f>AQ7</f>
        <v>BFFR</v>
      </c>
      <c r="AR22" t="str">
        <f>AQ10</f>
        <v>EFR</v>
      </c>
      <c r="AS22">
        <f>ABS(AT7-AT10)</f>
        <v>19.099999999999998</v>
      </c>
      <c r="AT22">
        <f>SQRT(AS$12*(AS$12+1)/12/HARMEAN(AS7,AS10))</f>
        <v>5.5226805085936306</v>
      </c>
      <c r="AU22">
        <f t="shared" si="10"/>
        <v>3.4584654988242072</v>
      </c>
      <c r="AV22">
        <f>[1]!QDIST(AU22,COUNT(AS$6:AS$11))</f>
        <v>0.14123919572287813</v>
      </c>
      <c r="AW22">
        <f t="shared" si="11"/>
        <v>22.256402449632333</v>
      </c>
      <c r="BI22">
        <v>38.57</v>
      </c>
    </row>
    <row r="23" spans="1:61" x14ac:dyDescent="0.25">
      <c r="A23">
        <v>22</v>
      </c>
      <c r="B23" t="s">
        <v>63</v>
      </c>
      <c r="C23">
        <v>157.17750000000001</v>
      </c>
      <c r="D23">
        <v>157.17750000000001</v>
      </c>
      <c r="AF23" t="str">
        <f>AF7</f>
        <v>BFFR</v>
      </c>
      <c r="AG23" t="str">
        <f>AF11</f>
        <v>EFRW</v>
      </c>
      <c r="AH23">
        <f>ABS(AG7-AG11)</f>
        <v>8.9454375000000113</v>
      </c>
      <c r="AI23">
        <f>SQRT(AI12/AJ12/HARMEAN(AH7,AH11))</f>
        <v>4.1749636414646876</v>
      </c>
      <c r="AJ23">
        <f t="shared" si="5"/>
        <v>2.1426384199268655</v>
      </c>
      <c r="AK23">
        <f t="shared" si="6"/>
        <v>-8.4980244788885031</v>
      </c>
      <c r="AL23">
        <f t="shared" si="7"/>
        <v>26.388899478888526</v>
      </c>
      <c r="AM23">
        <f>[1]!QDIST(AJ23,COUNT($AH$6:$AH$11),AJ$12)</f>
        <v>0.65624870286888481</v>
      </c>
      <c r="AN23">
        <f t="shared" si="8"/>
        <v>17.443461978888514</v>
      </c>
      <c r="AO23">
        <f t="shared" si="9"/>
        <v>0.67756176091532017</v>
      </c>
      <c r="AQ23" t="str">
        <f>AQ7</f>
        <v>BFFR</v>
      </c>
      <c r="AR23" t="str">
        <f>AQ11</f>
        <v>EFRW</v>
      </c>
      <c r="AS23">
        <f>ABS(AT7-AT11)</f>
        <v>8.3000000000000043</v>
      </c>
      <c r="AT23">
        <f>SQRT(AS$12*(AS$12+1)/12/HARMEAN(AS7,AS11))</f>
        <v>5.5226805085936306</v>
      </c>
      <c r="AU23">
        <f t="shared" si="10"/>
        <v>1.5028933843058083</v>
      </c>
      <c r="AV23">
        <f>[1]!QDIST(AU23,COUNT(AS$6:AS$11))</f>
        <v>0.89608401321208775</v>
      </c>
      <c r="AW23">
        <f t="shared" si="11"/>
        <v>22.256402449632333</v>
      </c>
      <c r="BI23">
        <v>44.12</v>
      </c>
    </row>
    <row r="24" spans="1:61" x14ac:dyDescent="0.25">
      <c r="A24">
        <v>23</v>
      </c>
      <c r="B24" t="s">
        <v>63</v>
      </c>
      <c r="C24">
        <v>117.77625000000002</v>
      </c>
      <c r="D24">
        <v>117.77625000000002</v>
      </c>
      <c r="AF24" t="str">
        <f>AF8</f>
        <v>BFFRW</v>
      </c>
      <c r="AG24" t="str">
        <f>AF9</f>
        <v>EF</v>
      </c>
      <c r="AH24">
        <f>ABS(AG8-AG9)</f>
        <v>18.200812499999969</v>
      </c>
      <c r="AI24">
        <f>SQRT(AI12/AJ12/HARMEAN(AH8,AH9))</f>
        <v>4.1749636414646876</v>
      </c>
      <c r="AJ24">
        <f t="shared" si="5"/>
        <v>4.3595140133039925</v>
      </c>
      <c r="AK24">
        <f t="shared" si="6"/>
        <v>0.75735052111145507</v>
      </c>
      <c r="AL24">
        <f t="shared" si="7"/>
        <v>35.644274478888484</v>
      </c>
      <c r="AM24">
        <f>[1]!QDIST(AJ24,COUNT($AH$6:$AH$11),AJ$12)</f>
        <v>3.6086705150083831E-2</v>
      </c>
      <c r="AN24">
        <f t="shared" si="8"/>
        <v>17.443461978888514</v>
      </c>
      <c r="AO24">
        <f t="shared" si="9"/>
        <v>1.3785993773462208</v>
      </c>
      <c r="AQ24" t="str">
        <f>AQ8</f>
        <v>BFFRW</v>
      </c>
      <c r="AR24" t="str">
        <f>AQ9</f>
        <v>EF</v>
      </c>
      <c r="AS24">
        <f>ABS(AT8-AT9)</f>
        <v>16.5</v>
      </c>
      <c r="AT24">
        <f>SQRT(AS$12*(AS$12+1)/12/HARMEAN(AS8,AS9))</f>
        <v>5.5226805085936306</v>
      </c>
      <c r="AU24">
        <f t="shared" si="10"/>
        <v>2.9876796194031114</v>
      </c>
      <c r="AV24">
        <f>[1]!QDIST(AU24,COUNT(AS$6:AS$11))</f>
        <v>0.28096929008998128</v>
      </c>
      <c r="AW24">
        <f t="shared" si="11"/>
        <v>22.256402449632333</v>
      </c>
      <c r="BI24">
        <v>33.06</v>
      </c>
    </row>
    <row r="25" spans="1:61" x14ac:dyDescent="0.25">
      <c r="A25">
        <v>24</v>
      </c>
      <c r="B25" t="s">
        <v>63</v>
      </c>
      <c r="C25">
        <v>139.614375</v>
      </c>
      <c r="D25">
        <v>139.614375</v>
      </c>
      <c r="AF25" t="str">
        <f>AF8</f>
        <v>BFFRW</v>
      </c>
      <c r="AG25" t="str">
        <f>AF10</f>
        <v>EFR</v>
      </c>
      <c r="AH25">
        <f>ABS(AG8-AG10)</f>
        <v>32.489999999999966</v>
      </c>
      <c r="AI25">
        <f>SQRT(AI12/AJ12/HARMEAN(AH8,AH10))</f>
        <v>4.1749636414646876</v>
      </c>
      <c r="AJ25">
        <f t="shared" si="5"/>
        <v>7.7821036996148827</v>
      </c>
      <c r="AK25">
        <f t="shared" si="6"/>
        <v>15.046538021111452</v>
      </c>
      <c r="AL25">
        <f t="shared" si="7"/>
        <v>49.933461978888481</v>
      </c>
      <c r="AM25">
        <f>[1]!QDIST(AJ25,COUNT($AH$6:$AH$11),AJ$12)</f>
        <v>1.5187968574914557E-5</v>
      </c>
      <c r="AN25">
        <f t="shared" si="8"/>
        <v>17.443461978888514</v>
      </c>
      <c r="AO25">
        <f t="shared" si="9"/>
        <v>2.4609172678405837</v>
      </c>
      <c r="AQ25" t="str">
        <f>AQ8</f>
        <v>BFFRW</v>
      </c>
      <c r="AR25" t="str">
        <f>AQ10</f>
        <v>EFR</v>
      </c>
      <c r="AS25">
        <f>ABS(AT8-AT10)</f>
        <v>31.2</v>
      </c>
      <c r="AT25">
        <f>SQRT(AS$12*(AS$12+1)/12/HARMEAN(AS8,AS10))</f>
        <v>5.5226805085936306</v>
      </c>
      <c r="AU25">
        <f t="shared" si="10"/>
        <v>5.6494305530531559</v>
      </c>
      <c r="AV25">
        <f>[1]!QDIST(AU25,COUNT(AS$6:AS$11))</f>
        <v>9.433747673943671E-4</v>
      </c>
      <c r="AW25">
        <f t="shared" si="11"/>
        <v>22.256402449632333</v>
      </c>
      <c r="BI25">
        <v>39.19</v>
      </c>
    </row>
    <row r="26" spans="1:61" x14ac:dyDescent="0.25">
      <c r="A26">
        <v>25</v>
      </c>
      <c r="B26" t="s">
        <v>63</v>
      </c>
      <c r="C26">
        <v>120.1275</v>
      </c>
      <c r="D26">
        <v>120.1275</v>
      </c>
      <c r="F26" t="s">
        <v>124</v>
      </c>
      <c r="N26" t="s">
        <v>140</v>
      </c>
      <c r="AF26" t="str">
        <f>AF8</f>
        <v>BFFRW</v>
      </c>
      <c r="AG26" t="str">
        <f>AF11</f>
        <v>EFRW</v>
      </c>
      <c r="AH26">
        <f>ABS(AG8-AG11)</f>
        <v>5.0088749999999749</v>
      </c>
      <c r="AI26">
        <f>SQRT(AI12/AJ12/HARMEAN(AH8,AH11))</f>
        <v>4.1749636414646876</v>
      </c>
      <c r="AJ26">
        <f t="shared" si="5"/>
        <v>1.1997409870239562</v>
      </c>
      <c r="AK26">
        <f t="shared" si="6"/>
        <v>-12.434586978888539</v>
      </c>
      <c r="AL26">
        <f t="shared" si="7"/>
        <v>22.452336978888489</v>
      </c>
      <c r="AM26">
        <f>[1]!QDIST(AJ26,COUNT($AH$6:$AH$11),AJ$12)</f>
        <v>0.95681121684038106</v>
      </c>
      <c r="AN26">
        <f t="shared" si="8"/>
        <v>17.443461978888514</v>
      </c>
      <c r="AO26">
        <f t="shared" si="9"/>
        <v>0.37939141212542182</v>
      </c>
      <c r="AQ26" t="str">
        <f>AQ8</f>
        <v>BFFRW</v>
      </c>
      <c r="AR26" t="str">
        <f>AQ11</f>
        <v>EFRW</v>
      </c>
      <c r="AS26">
        <f>ABS(AT8-AT11)</f>
        <v>3.7999999999999972</v>
      </c>
      <c r="AT26">
        <f>SQRT(AS$12*(AS$12+1)/12/HARMEAN(AS8,AS11))</f>
        <v>5.5226805085936306</v>
      </c>
      <c r="AU26">
        <f t="shared" si="10"/>
        <v>0.68807166992314028</v>
      </c>
      <c r="AV26">
        <f>[1]!QDIST(AU26,COUNT(AS$6:AS$11))</f>
        <v>0.99664454815712022</v>
      </c>
      <c r="AW26">
        <f t="shared" si="11"/>
        <v>22.256402449632333</v>
      </c>
      <c r="BI26">
        <v>33.72</v>
      </c>
    </row>
    <row r="27" spans="1:61" x14ac:dyDescent="0.25">
      <c r="A27">
        <v>26</v>
      </c>
      <c r="B27" t="s">
        <v>63</v>
      </c>
      <c r="C27">
        <v>129.354375</v>
      </c>
      <c r="D27">
        <v>129.354375</v>
      </c>
      <c r="AF27" t="str">
        <f>AF9</f>
        <v>EF</v>
      </c>
      <c r="AG27" t="str">
        <f>AF10</f>
        <v>EFR</v>
      </c>
      <c r="AH27">
        <f>ABS(AG9-AG10)</f>
        <v>14.289187499999997</v>
      </c>
      <c r="AI27">
        <f>SQRT(AI12/AJ12/HARMEAN(AH9,AH10))</f>
        <v>4.1749636414646876</v>
      </c>
      <c r="AJ27">
        <f t="shared" si="5"/>
        <v>3.4225896863108902</v>
      </c>
      <c r="AK27">
        <f t="shared" si="6"/>
        <v>-3.1542744788885173</v>
      </c>
      <c r="AL27">
        <f t="shared" si="7"/>
        <v>31.732649478888511</v>
      </c>
      <c r="AM27">
        <f>[1]!QDIST(AJ27,COUNT($AH$6:$AH$11),AJ$12)</f>
        <v>0.167637001776061</v>
      </c>
      <c r="AN27">
        <f t="shared" si="8"/>
        <v>17.443461978888514</v>
      </c>
      <c r="AO27">
        <f t="shared" si="9"/>
        <v>1.0823178904943629</v>
      </c>
      <c r="AQ27" t="str">
        <f>AQ9</f>
        <v>EF</v>
      </c>
      <c r="AR27" t="str">
        <f>AQ10</f>
        <v>EFR</v>
      </c>
      <c r="AS27">
        <f>ABS(AT9-AT10)</f>
        <v>14.7</v>
      </c>
      <c r="AT27">
        <f>SQRT(AS$12*(AS$12+1)/12/HARMEAN(AS9,AS10))</f>
        <v>5.5226805085936306</v>
      </c>
      <c r="AU27">
        <f t="shared" si="10"/>
        <v>2.6617509336500444</v>
      </c>
      <c r="AV27">
        <f>[1]!QDIST(AU27,COUNT(AS$6:AS$11))</f>
        <v>0.4134239168024646</v>
      </c>
      <c r="AW27">
        <f t="shared" si="11"/>
        <v>22.256402449632333</v>
      </c>
      <c r="BI27">
        <v>36.31</v>
      </c>
    </row>
    <row r="28" spans="1:61" x14ac:dyDescent="0.25">
      <c r="A28">
        <v>27</v>
      </c>
      <c r="B28" t="s">
        <v>63</v>
      </c>
      <c r="C28">
        <v>113.03812500000001</v>
      </c>
      <c r="D28">
        <v>113.03812500000001</v>
      </c>
      <c r="F28" s="116"/>
      <c r="G28" s="116" t="str">
        <f>F4</f>
        <v>BFF</v>
      </c>
      <c r="H28" s="116" t="str">
        <f t="shared" ref="H28:L28" si="12">G4</f>
        <v>BFFR</v>
      </c>
      <c r="I28" s="116" t="str">
        <f t="shared" si="12"/>
        <v>BFFRW</v>
      </c>
      <c r="J28" s="116" t="str">
        <f t="shared" si="12"/>
        <v>EF</v>
      </c>
      <c r="K28" s="116" t="str">
        <f t="shared" si="12"/>
        <v>EFR</v>
      </c>
      <c r="L28" s="116" t="str">
        <f t="shared" si="12"/>
        <v>EFRW</v>
      </c>
      <c r="N28" s="116"/>
      <c r="O28" s="116" t="str">
        <f>F4</f>
        <v>BFF</v>
      </c>
      <c r="P28" s="116" t="str">
        <f t="shared" ref="P28:T28" si="13">G4</f>
        <v>BFFR</v>
      </c>
      <c r="Q28" s="116" t="str">
        <f t="shared" si="13"/>
        <v>BFFRW</v>
      </c>
      <c r="R28" s="116" t="str">
        <f t="shared" si="13"/>
        <v>EF</v>
      </c>
      <c r="S28" s="116" t="str">
        <f t="shared" si="13"/>
        <v>EFR</v>
      </c>
      <c r="T28" s="116" t="str">
        <f t="shared" si="13"/>
        <v>EFRW</v>
      </c>
      <c r="AF28" t="str">
        <f>AF9</f>
        <v>EF</v>
      </c>
      <c r="AG28" t="str">
        <f>AF11</f>
        <v>EFRW</v>
      </c>
      <c r="AH28">
        <f>ABS(AG9-AG11)</f>
        <v>13.191937499999995</v>
      </c>
      <c r="AI28">
        <f>SQRT(AI12/AJ12/HARMEAN(AH9,AH11))</f>
        <v>4.1749636414646876</v>
      </c>
      <c r="AJ28">
        <f t="shared" si="5"/>
        <v>3.1597730262800359</v>
      </c>
      <c r="AK28">
        <f t="shared" si="6"/>
        <v>-4.2515244788885198</v>
      </c>
      <c r="AL28">
        <f t="shared" si="7"/>
        <v>30.635399478888509</v>
      </c>
      <c r="AM28">
        <f>[1]!QDIST(AJ28,COUNT($AH$6:$AH$11),AJ$12)</f>
        <v>0.23946088185253189</v>
      </c>
      <c r="AN28">
        <f t="shared" si="8"/>
        <v>17.443461978888514</v>
      </c>
      <c r="AO28">
        <f t="shared" si="9"/>
        <v>0.99920796522079902</v>
      </c>
      <c r="AQ28" t="str">
        <f>AQ9</f>
        <v>EF</v>
      </c>
      <c r="AR28" t="str">
        <f>AQ11</f>
        <v>EFRW</v>
      </c>
      <c r="AS28">
        <f>ABS(AT9-AT11)</f>
        <v>12.700000000000003</v>
      </c>
      <c r="AT28">
        <f>SQRT(AS$12*(AS$12+1)/12/HARMEAN(AS9,AS11))</f>
        <v>5.5226805085936306</v>
      </c>
      <c r="AU28">
        <f t="shared" si="10"/>
        <v>2.299607949479971</v>
      </c>
      <c r="AV28">
        <f>[1]!QDIST(AU28,COUNT(AS$6:AS$11))</f>
        <v>0.58124967504528224</v>
      </c>
      <c r="AW28">
        <f t="shared" si="11"/>
        <v>22.256402449632333</v>
      </c>
      <c r="BI28">
        <v>31.73</v>
      </c>
    </row>
    <row r="29" spans="1:61" x14ac:dyDescent="0.25">
      <c r="A29">
        <v>28</v>
      </c>
      <c r="B29" t="s">
        <v>63</v>
      </c>
      <c r="C29">
        <v>127.216875</v>
      </c>
      <c r="D29">
        <v>127.216875</v>
      </c>
      <c r="F29" t="s">
        <v>76</v>
      </c>
      <c r="G29">
        <f>AVERAGE(F5:F14)</f>
        <v>93.280500000000004</v>
      </c>
      <c r="H29">
        <f t="shared" ref="H29:L29" si="14">AVERAGE(G5:G14)</f>
        <v>117.87956249999999</v>
      </c>
      <c r="I29">
        <f t="shared" si="14"/>
        <v>131.83387499999998</v>
      </c>
      <c r="J29">
        <f t="shared" si="14"/>
        <v>113.63306250000001</v>
      </c>
      <c r="K29">
        <f t="shared" si="14"/>
        <v>99.343875000000011</v>
      </c>
      <c r="L29">
        <f t="shared" si="14"/>
        <v>126.825</v>
      </c>
      <c r="N29" t="s">
        <v>141</v>
      </c>
      <c r="O29">
        <f>[1]!SHAPIRO(F5:F14)</f>
        <v>0.93042203467127604</v>
      </c>
      <c r="P29">
        <f>[1]!SHAPIRO(G5:G14)</f>
        <v>0.9541882230057841</v>
      </c>
      <c r="Q29">
        <f>[1]!SHAPIRO(H5:H14)</f>
        <v>0.95511917868659579</v>
      </c>
      <c r="R29">
        <f>[1]!SHAPIRO(I5:I14)</f>
        <v>0.96607303440724612</v>
      </c>
      <c r="S29">
        <f>[1]!SHAPIRO(J5:J14)</f>
        <v>0.92839564287826082</v>
      </c>
      <c r="T29">
        <f>[1]!SHAPIRO(K5:K14)</f>
        <v>0.93265332383706478</v>
      </c>
      <c r="AF29" s="19" t="str">
        <f>AF10</f>
        <v>EFR</v>
      </c>
      <c r="AG29" s="19" t="str">
        <f>AF11</f>
        <v>EFRW</v>
      </c>
      <c r="AH29" s="19">
        <f>ABS(AG10-AG11)</f>
        <v>27.481124999999992</v>
      </c>
      <c r="AI29" s="19">
        <f>SQRT(AI12/AJ12/HARMEAN(AH10,AH11))</f>
        <v>4.1749636414646876</v>
      </c>
      <c r="AJ29" s="19">
        <f t="shared" si="5"/>
        <v>6.5823627125909265</v>
      </c>
      <c r="AK29" s="19">
        <f t="shared" si="6"/>
        <v>10.037663021111477</v>
      </c>
      <c r="AL29" s="19">
        <f t="shared" si="7"/>
        <v>44.924586978888506</v>
      </c>
      <c r="AM29" s="19">
        <f>[1]!QDIST(AJ29,COUNT($AH$6:$AH$11),AJ$12)</f>
        <v>2.9829031111583415E-4</v>
      </c>
      <c r="AN29" s="19">
        <f t="shared" si="8"/>
        <v>17.443461978888514</v>
      </c>
      <c r="AO29" s="19">
        <f t="shared" si="9"/>
        <v>2.0815258557151619</v>
      </c>
      <c r="AQ29" s="19" t="str">
        <f>AQ10</f>
        <v>EFR</v>
      </c>
      <c r="AR29" s="19" t="str">
        <f>AQ11</f>
        <v>EFRW</v>
      </c>
      <c r="AS29" s="19">
        <f>ABS(AT10-AT11)</f>
        <v>27.400000000000002</v>
      </c>
      <c r="AT29" s="19">
        <f>SQRT(AS$12*(AS$12+1)/12/HARMEAN(AS10,AS11))</f>
        <v>5.5226805085936306</v>
      </c>
      <c r="AU29" s="19">
        <f t="shared" si="10"/>
        <v>4.9613588831300159</v>
      </c>
      <c r="AV29" s="19">
        <f>[1]!QDIST(AU29,COUNT(AS$6:AS$11))</f>
        <v>6.120092374602315E-3</v>
      </c>
      <c r="AW29" s="19">
        <f t="shared" si="11"/>
        <v>22.256402449632333</v>
      </c>
      <c r="BI29">
        <v>35.71</v>
      </c>
    </row>
    <row r="30" spans="1:61" x14ac:dyDescent="0.25">
      <c r="A30">
        <v>29</v>
      </c>
      <c r="B30" t="s">
        <v>63</v>
      </c>
      <c r="C30">
        <v>126.9675</v>
      </c>
      <c r="D30">
        <v>126.9675</v>
      </c>
      <c r="F30" t="s">
        <v>125</v>
      </c>
      <c r="G30">
        <f>_xlfn.STDEV.S(F5:F14)/SQRT(COUNT(F5:F14))</f>
        <v>3.7045744547282262</v>
      </c>
      <c r="H30">
        <f t="shared" ref="H30:L30" si="15">_xlfn.STDEV.S(G5:G14)/SQRT(COUNT(G5:G14))</f>
        <v>4.7050286052033119</v>
      </c>
      <c r="I30">
        <f t="shared" si="15"/>
        <v>4.4606369640445402</v>
      </c>
      <c r="J30">
        <f t="shared" si="15"/>
        <v>3.0180496476667265</v>
      </c>
      <c r="K30">
        <f t="shared" si="15"/>
        <v>3.028195783486431</v>
      </c>
      <c r="L30">
        <f t="shared" si="15"/>
        <v>5.5267428812095059</v>
      </c>
      <c r="N30" t="s">
        <v>101</v>
      </c>
      <c r="O30">
        <f>[1]!SWTEST(F5:F14)</f>
        <v>0.45205619313896295</v>
      </c>
      <c r="P30">
        <f>[1]!SWTEST(G5:G14)</f>
        <v>0.71811636520279731</v>
      </c>
      <c r="Q30">
        <f>[1]!SWTEST(H5:H14)</f>
        <v>0.72911069844897058</v>
      </c>
      <c r="R30">
        <f>[1]!SWTEST(I5:I14)</f>
        <v>0.85224156166943343</v>
      </c>
      <c r="S30">
        <f>[1]!SWTEST(J5:J14)</f>
        <v>0.43229845473719486</v>
      </c>
      <c r="T30">
        <f>[1]!SWTEST(K5:K14)</f>
        <v>0.47449207321416975</v>
      </c>
      <c r="BI30">
        <v>35.64</v>
      </c>
    </row>
    <row r="31" spans="1:61" x14ac:dyDescent="0.25">
      <c r="A31">
        <v>30</v>
      </c>
      <c r="B31" t="s">
        <v>63</v>
      </c>
      <c r="C31">
        <v>149.66062499999998</v>
      </c>
      <c r="D31">
        <v>149.66062499999998</v>
      </c>
      <c r="F31" t="s">
        <v>126</v>
      </c>
      <c r="G31">
        <f>MEDIAN(F5:F14)</f>
        <v>93.301874999999995</v>
      </c>
      <c r="H31">
        <f t="shared" ref="H31:L31" si="16">MEDIAN(G5:G14)</f>
        <v>119.52187500000001</v>
      </c>
      <c r="I31">
        <f t="shared" si="16"/>
        <v>128.28562500000001</v>
      </c>
      <c r="J31">
        <f t="shared" si="16"/>
        <v>113.67937499999999</v>
      </c>
      <c r="K31">
        <f t="shared" si="16"/>
        <v>99.482812499999994</v>
      </c>
      <c r="L31">
        <f t="shared" si="16"/>
        <v>128.855625</v>
      </c>
      <c r="N31" t="s">
        <v>102</v>
      </c>
      <c r="O31">
        <v>0.05</v>
      </c>
      <c r="P31">
        <v>0.05</v>
      </c>
      <c r="Q31">
        <v>0.05</v>
      </c>
      <c r="R31">
        <v>0.05</v>
      </c>
      <c r="S31">
        <v>0.05</v>
      </c>
      <c r="T31">
        <v>0.05</v>
      </c>
      <c r="BI31">
        <v>42.01</v>
      </c>
    </row>
    <row r="32" spans="1:61" x14ac:dyDescent="0.25">
      <c r="A32">
        <v>31</v>
      </c>
      <c r="B32" t="s">
        <v>8</v>
      </c>
      <c r="C32">
        <v>107.623125</v>
      </c>
      <c r="D32">
        <v>107.623125</v>
      </c>
      <c r="F32" t="s">
        <v>127</v>
      </c>
      <c r="G32" t="e">
        <f>MODE(F5:F14)</f>
        <v>#N/A</v>
      </c>
      <c r="H32" t="e">
        <f t="shared" ref="H32:L32" si="17">MODE(G5:G14)</f>
        <v>#N/A</v>
      </c>
      <c r="I32" t="e">
        <f t="shared" si="17"/>
        <v>#N/A</v>
      </c>
      <c r="J32" t="e">
        <f t="shared" si="17"/>
        <v>#N/A</v>
      </c>
      <c r="K32" t="e">
        <f t="shared" si="17"/>
        <v>#N/A</v>
      </c>
      <c r="L32" t="e">
        <f t="shared" si="17"/>
        <v>#N/A</v>
      </c>
      <c r="N32" s="19" t="s">
        <v>142</v>
      </c>
      <c r="O32" s="117" t="str">
        <f>IF(O30&lt;O31,"no","yes")</f>
        <v>yes</v>
      </c>
      <c r="P32" s="117" t="str">
        <f t="shared" ref="P32:T32" si="18">IF(P30&lt;P31,"no","yes")</f>
        <v>yes</v>
      </c>
      <c r="Q32" s="117" t="str">
        <f t="shared" si="18"/>
        <v>yes</v>
      </c>
      <c r="R32" s="117" t="str">
        <f t="shared" si="18"/>
        <v>yes</v>
      </c>
      <c r="S32" s="117" t="str">
        <f t="shared" si="18"/>
        <v>yes</v>
      </c>
      <c r="T32" s="117" t="str">
        <f t="shared" si="18"/>
        <v>yes</v>
      </c>
      <c r="BI32">
        <v>30.21</v>
      </c>
    </row>
    <row r="33" spans="1:61" x14ac:dyDescent="0.25">
      <c r="A33">
        <v>32</v>
      </c>
      <c r="B33" t="s">
        <v>8</v>
      </c>
      <c r="C33">
        <v>111.470625</v>
      </c>
      <c r="D33">
        <v>111.470625</v>
      </c>
      <c r="F33" t="s">
        <v>128</v>
      </c>
      <c r="G33">
        <f>_xlfn.STDEV.S(F5:F14)</f>
        <v>11.714893038617525</v>
      </c>
      <c r="H33">
        <f t="shared" ref="H33:L33" si="19">_xlfn.STDEV.S(G5:G14)</f>
        <v>14.878606848687623</v>
      </c>
      <c r="I33">
        <f t="shared" si="19"/>
        <v>14.105772621519352</v>
      </c>
      <c r="J33">
        <f t="shared" si="19"/>
        <v>9.5439109780955373</v>
      </c>
      <c r="K33">
        <f t="shared" si="19"/>
        <v>9.5759958767352238</v>
      </c>
      <c r="L33">
        <f t="shared" si="19"/>
        <v>17.477095546743445</v>
      </c>
      <c r="BI33">
        <v>31.29</v>
      </c>
    </row>
    <row r="34" spans="1:61" x14ac:dyDescent="0.25">
      <c r="A34">
        <v>33</v>
      </c>
      <c r="B34" t="s">
        <v>8</v>
      </c>
      <c r="C34">
        <v>99.429374999999993</v>
      </c>
      <c r="D34">
        <v>99.429374999999993</v>
      </c>
      <c r="F34" t="s">
        <v>129</v>
      </c>
      <c r="G34">
        <f>_xlfn.VAR.S(F5:F14)</f>
        <v>137.23871890624935</v>
      </c>
      <c r="H34">
        <f t="shared" ref="H34:L34" si="20">_xlfn.VAR.S(G5:G14)</f>
        <v>221.37294175781426</v>
      </c>
      <c r="I34">
        <f t="shared" si="20"/>
        <v>198.97282125000493</v>
      </c>
      <c r="J34">
        <f t="shared" si="20"/>
        <v>91.086236757812529</v>
      </c>
      <c r="K34">
        <f t="shared" si="20"/>
        <v>91.699697031249997</v>
      </c>
      <c r="L34">
        <f t="shared" si="20"/>
        <v>305.44886874999952</v>
      </c>
      <c r="N34" t="s">
        <v>143</v>
      </c>
      <c r="BI34">
        <v>27.91</v>
      </c>
    </row>
    <row r="35" spans="1:61" x14ac:dyDescent="0.25">
      <c r="A35">
        <v>34</v>
      </c>
      <c r="B35" t="s">
        <v>8</v>
      </c>
      <c r="C35">
        <v>106.16250000000001</v>
      </c>
      <c r="D35">
        <v>106.16250000000001</v>
      </c>
      <c r="F35" t="s">
        <v>130</v>
      </c>
      <c r="G35">
        <f>KURT(F5:F14)</f>
        <v>-0.72585631202787138</v>
      </c>
      <c r="H35">
        <f t="shared" ref="H35:L35" si="21">KURT(G5:G14)</f>
        <v>-0.91362108287157096</v>
      </c>
      <c r="I35">
        <f t="shared" si="21"/>
        <v>-0.47004342063006765</v>
      </c>
      <c r="J35">
        <f t="shared" si="21"/>
        <v>-1.1358366690639383</v>
      </c>
      <c r="K35">
        <f t="shared" si="21"/>
        <v>-0.78495211951991539</v>
      </c>
      <c r="L35">
        <f t="shared" si="21"/>
        <v>2.0541319526250597</v>
      </c>
      <c r="BI35">
        <v>29.8</v>
      </c>
    </row>
    <row r="36" spans="1:61" x14ac:dyDescent="0.25">
      <c r="A36">
        <v>35</v>
      </c>
      <c r="B36" t="s">
        <v>8</v>
      </c>
      <c r="C36">
        <v>103.74</v>
      </c>
      <c r="D36">
        <v>103.74</v>
      </c>
      <c r="F36" t="s">
        <v>131</v>
      </c>
      <c r="G36">
        <f>SKEW(F5:F14)</f>
        <v>-0.15126056837378435</v>
      </c>
      <c r="H36">
        <f t="shared" ref="H36:L36" si="22">SKEW(G5:G14)</f>
        <v>-0.33949752362056174</v>
      </c>
      <c r="I36">
        <f t="shared" si="22"/>
        <v>0.56096891256522363</v>
      </c>
      <c r="J36">
        <f t="shared" si="22"/>
        <v>0.11093533465070744</v>
      </c>
      <c r="K36">
        <f t="shared" si="22"/>
        <v>0.13965197818733996</v>
      </c>
      <c r="L36">
        <f t="shared" si="22"/>
        <v>-0.77794713951238881</v>
      </c>
      <c r="N36" s="21" t="s">
        <v>144</v>
      </c>
      <c r="O36" s="21">
        <f>[1]!DAGOSTINO(F5:F14)</f>
        <v>0.25900290396952913</v>
      </c>
      <c r="P36" s="21">
        <f>[1]!DAGOSTINO(G5:G14)</f>
        <v>0.68898687196798958</v>
      </c>
      <c r="Q36" s="21">
        <f>[1]!DAGOSTINO(H5:H14)</f>
        <v>0.74695521923568386</v>
      </c>
      <c r="R36" s="21">
        <f>[1]!DAGOSTINO(I5:I14)</f>
        <v>0.85701426532712588</v>
      </c>
      <c r="S36" s="21">
        <f>[1]!DAGOSTINO(J5:J14)</f>
        <v>0.31073448483712318</v>
      </c>
      <c r="T36" s="21">
        <f>[1]!DAGOSTINO(K5:K14)</f>
        <v>3.4406893841887145</v>
      </c>
      <c r="BI36">
        <v>29.12</v>
      </c>
    </row>
    <row r="37" spans="1:61" x14ac:dyDescent="0.25">
      <c r="A37">
        <v>36</v>
      </c>
      <c r="B37" t="s">
        <v>8</v>
      </c>
      <c r="C37">
        <v>117.669375</v>
      </c>
      <c r="D37">
        <v>117.669375</v>
      </c>
      <c r="F37" t="s">
        <v>132</v>
      </c>
      <c r="G37">
        <f>G38-G39</f>
        <v>35.482500000000016</v>
      </c>
      <c r="H37">
        <f t="shared" ref="H37:L37" si="23">H38-H39</f>
        <v>44.923124999999999</v>
      </c>
      <c r="I37">
        <f t="shared" si="23"/>
        <v>44.139375000000001</v>
      </c>
      <c r="J37">
        <f t="shared" si="23"/>
        <v>28.571249999999992</v>
      </c>
      <c r="K37">
        <f t="shared" si="23"/>
        <v>28.428749999999994</v>
      </c>
      <c r="L37">
        <f t="shared" si="23"/>
        <v>65.90625</v>
      </c>
      <c r="N37" t="s">
        <v>101</v>
      </c>
      <c r="O37">
        <f>[1]!DPTEST(F5:F14)</f>
        <v>0.87853331279833502</v>
      </c>
      <c r="P37">
        <f>[1]!DPTEST(G5:G14)</f>
        <v>0.70857920329680091</v>
      </c>
      <c r="Q37">
        <f>[1]!DPTEST(H5:H14)</f>
        <v>0.68833639823881221</v>
      </c>
      <c r="R37">
        <f>[1]!DPTEST(I5:I14)</f>
        <v>0.6514809437432203</v>
      </c>
      <c r="S37">
        <f>[1]!DPTEST(J5:J14)</f>
        <v>0.85610072324654296</v>
      </c>
      <c r="T37">
        <f>[1]!DPTEST(K5:K14)</f>
        <v>0.17900443586237991</v>
      </c>
      <c r="BI37">
        <v>33.03</v>
      </c>
    </row>
    <row r="38" spans="1:61" x14ac:dyDescent="0.25">
      <c r="A38">
        <v>37</v>
      </c>
      <c r="B38" t="s">
        <v>8</v>
      </c>
      <c r="C38">
        <v>125.79187500000002</v>
      </c>
      <c r="D38">
        <v>125.79187500000002</v>
      </c>
      <c r="F38" t="s">
        <v>133</v>
      </c>
      <c r="G38">
        <f>MAX(F5:F14)</f>
        <v>108.90562500000001</v>
      </c>
      <c r="H38">
        <f t="shared" ref="H38:L38" si="24">MAX(G5:G14)</f>
        <v>137.548125</v>
      </c>
      <c r="I38">
        <f t="shared" si="24"/>
        <v>157.17750000000001</v>
      </c>
      <c r="J38">
        <f t="shared" si="24"/>
        <v>128.00062499999999</v>
      </c>
      <c r="K38">
        <f t="shared" si="24"/>
        <v>115.92375</v>
      </c>
      <c r="L38">
        <f t="shared" si="24"/>
        <v>154.861875</v>
      </c>
      <c r="N38" t="s">
        <v>102</v>
      </c>
      <c r="O38">
        <v>0.05</v>
      </c>
      <c r="P38">
        <v>0.05</v>
      </c>
      <c r="Q38">
        <v>0.05</v>
      </c>
      <c r="R38">
        <v>0.05</v>
      </c>
      <c r="S38">
        <v>0.05</v>
      </c>
      <c r="T38">
        <v>0.05</v>
      </c>
      <c r="BI38">
        <v>35.31</v>
      </c>
    </row>
    <row r="39" spans="1:61" x14ac:dyDescent="0.25">
      <c r="A39">
        <v>38</v>
      </c>
      <c r="B39" t="s">
        <v>8</v>
      </c>
      <c r="C39">
        <v>115.888125</v>
      </c>
      <c r="D39">
        <v>115.888125</v>
      </c>
      <c r="F39" t="s">
        <v>134</v>
      </c>
      <c r="G39">
        <f>MIN(F5:F14)</f>
        <v>73.423124999999999</v>
      </c>
      <c r="H39">
        <f t="shared" ref="H39:L39" si="25">MIN(G5:G14)</f>
        <v>92.625</v>
      </c>
      <c r="I39">
        <f t="shared" si="25"/>
        <v>113.03812500000001</v>
      </c>
      <c r="J39">
        <f t="shared" si="25"/>
        <v>99.429374999999993</v>
      </c>
      <c r="K39">
        <f t="shared" si="25"/>
        <v>87.495000000000005</v>
      </c>
      <c r="L39">
        <f t="shared" si="25"/>
        <v>88.955624999999998</v>
      </c>
      <c r="N39" s="19" t="s">
        <v>142</v>
      </c>
      <c r="O39" s="117" t="str">
        <f>IF(O37&lt;O38,"no","yes")</f>
        <v>yes</v>
      </c>
      <c r="P39" s="117" t="str">
        <f t="shared" ref="P39:T39" si="26">IF(P37&lt;P38,"no","yes")</f>
        <v>yes</v>
      </c>
      <c r="Q39" s="117" t="str">
        <f t="shared" si="26"/>
        <v>yes</v>
      </c>
      <c r="R39" s="117" t="str">
        <f t="shared" si="26"/>
        <v>yes</v>
      </c>
      <c r="S39" s="117" t="str">
        <f t="shared" si="26"/>
        <v>yes</v>
      </c>
      <c r="T39" s="117" t="str">
        <f t="shared" si="26"/>
        <v>yes</v>
      </c>
      <c r="BI39">
        <v>32.53</v>
      </c>
    </row>
    <row r="40" spans="1:61" x14ac:dyDescent="0.25">
      <c r="A40">
        <v>39</v>
      </c>
      <c r="B40" t="s">
        <v>8</v>
      </c>
      <c r="C40">
        <v>128.00062499999999</v>
      </c>
      <c r="D40">
        <v>128.00062499999999</v>
      </c>
      <c r="F40" t="s">
        <v>75</v>
      </c>
      <c r="G40">
        <f>SUM(F5:F14)</f>
        <v>932.80500000000006</v>
      </c>
      <c r="H40">
        <f t="shared" ref="H40:L40" si="27">SUM(G5:G14)</f>
        <v>1178.795625</v>
      </c>
      <c r="I40">
        <f t="shared" si="27"/>
        <v>1318.3387499999999</v>
      </c>
      <c r="J40">
        <f t="shared" si="27"/>
        <v>1136.3306250000001</v>
      </c>
      <c r="K40">
        <f t="shared" si="27"/>
        <v>993.43875000000014</v>
      </c>
      <c r="L40">
        <f t="shared" si="27"/>
        <v>1268.25</v>
      </c>
      <c r="BI40">
        <v>35.93</v>
      </c>
    </row>
    <row r="41" spans="1:61" x14ac:dyDescent="0.25">
      <c r="A41">
        <v>40</v>
      </c>
      <c r="B41" t="s">
        <v>8</v>
      </c>
      <c r="C41">
        <v>120.55500000000001</v>
      </c>
      <c r="D41">
        <v>120.55500000000001</v>
      </c>
      <c r="F41" t="s">
        <v>74</v>
      </c>
      <c r="G41">
        <f>COUNT(F5:F14)</f>
        <v>10</v>
      </c>
      <c r="H41">
        <f t="shared" ref="H41:L41" si="28">COUNT(G5:G14)</f>
        <v>10</v>
      </c>
      <c r="I41">
        <f t="shared" si="28"/>
        <v>10</v>
      </c>
      <c r="J41">
        <f t="shared" si="28"/>
        <v>10</v>
      </c>
      <c r="K41">
        <f t="shared" si="28"/>
        <v>10</v>
      </c>
      <c r="L41">
        <f t="shared" si="28"/>
        <v>10</v>
      </c>
      <c r="BI41">
        <v>33.840000000000003</v>
      </c>
    </row>
    <row r="42" spans="1:61" x14ac:dyDescent="0.25">
      <c r="A42">
        <v>41</v>
      </c>
      <c r="B42" t="s">
        <v>9</v>
      </c>
      <c r="C42">
        <v>105.699375</v>
      </c>
      <c r="D42">
        <v>105.699375</v>
      </c>
      <c r="F42" t="s">
        <v>135</v>
      </c>
      <c r="G42">
        <f>GEOMEAN(F5:F14)</f>
        <v>92.603915248853454</v>
      </c>
      <c r="H42">
        <f t="shared" ref="H42:L42" si="29">GEOMEAN(G5:G14)</f>
        <v>117.00563216025272</v>
      </c>
      <c r="I42">
        <f t="shared" si="29"/>
        <v>131.17093370328715</v>
      </c>
      <c r="J42">
        <f t="shared" si="29"/>
        <v>113.27264496445021</v>
      </c>
      <c r="K42">
        <f t="shared" si="29"/>
        <v>98.92895484166219</v>
      </c>
      <c r="L42">
        <f t="shared" si="29"/>
        <v>125.64440376541461</v>
      </c>
      <c r="BI42">
        <v>29.67</v>
      </c>
    </row>
    <row r="43" spans="1:61" x14ac:dyDescent="0.25">
      <c r="A43">
        <v>42</v>
      </c>
      <c r="B43" t="s">
        <v>9</v>
      </c>
      <c r="C43">
        <v>97.398750000000007</v>
      </c>
      <c r="D43">
        <v>97.398750000000007</v>
      </c>
      <c r="F43" t="s">
        <v>136</v>
      </c>
      <c r="G43">
        <f>HARMEAN(F5:F14)</f>
        <v>91.914474590759312</v>
      </c>
      <c r="H43">
        <f t="shared" ref="H43:L43" si="30">HARMEAN(G5:G14)</f>
        <v>116.10597990385212</v>
      </c>
      <c r="I43">
        <f t="shared" si="30"/>
        <v>130.5254884045267</v>
      </c>
      <c r="J43">
        <f t="shared" si="30"/>
        <v>112.9133057158603</v>
      </c>
      <c r="K43">
        <f t="shared" si="30"/>
        <v>98.515501174452012</v>
      </c>
      <c r="L43">
        <f t="shared" si="30"/>
        <v>124.34955385476027</v>
      </c>
      <c r="BI43">
        <v>27.34</v>
      </c>
    </row>
    <row r="44" spans="1:61" x14ac:dyDescent="0.25">
      <c r="A44">
        <v>43</v>
      </c>
      <c r="B44" t="s">
        <v>9</v>
      </c>
      <c r="C44">
        <v>101.424375</v>
      </c>
      <c r="D44">
        <v>101.424375</v>
      </c>
      <c r="F44" t="s">
        <v>137</v>
      </c>
      <c r="G44">
        <f>AVEDEV(F5:F14)</f>
        <v>8.5428750000000022</v>
      </c>
      <c r="H44">
        <f t="shared" ref="H44:L44" si="31">AVEDEV(G5:G14)</f>
        <v>11.810400000000005</v>
      </c>
      <c r="I44">
        <f t="shared" si="31"/>
        <v>11.304524999999993</v>
      </c>
      <c r="J44">
        <f t="shared" si="31"/>
        <v>7.9479375000000019</v>
      </c>
      <c r="K44">
        <f t="shared" si="31"/>
        <v>7.6949999999999985</v>
      </c>
      <c r="L44">
        <f t="shared" si="31"/>
        <v>12.468750000000004</v>
      </c>
      <c r="BI44">
        <v>28.47</v>
      </c>
    </row>
    <row r="45" spans="1:61" x14ac:dyDescent="0.25">
      <c r="A45">
        <v>44</v>
      </c>
      <c r="B45" t="s">
        <v>9</v>
      </c>
      <c r="C45">
        <v>87.495000000000005</v>
      </c>
      <c r="D45">
        <v>87.495000000000005</v>
      </c>
      <c r="F45" t="s">
        <v>138</v>
      </c>
      <c r="G45">
        <f>[1]!MAD(F5:F14)</f>
        <v>10.527187499999989</v>
      </c>
      <c r="H45">
        <f>[1]!MAD(G5:G14)</f>
        <v>13.537499999999994</v>
      </c>
      <c r="I45">
        <f>[1]!MAD(H5:H14)</f>
        <v>9.814687499999998</v>
      </c>
      <c r="J45">
        <f>[1]!MAD(I5:I14)</f>
        <v>7.1962499999999991</v>
      </c>
      <c r="K45">
        <f>[1]!MAD(J5:J14)</f>
        <v>7.2675000000000125</v>
      </c>
      <c r="L45">
        <f>[1]!MAD(K5:K14)</f>
        <v>9.8681250000000134</v>
      </c>
      <c r="BI45">
        <v>24.56</v>
      </c>
    </row>
    <row r="46" spans="1:61" x14ac:dyDescent="0.25">
      <c r="A46">
        <v>45</v>
      </c>
      <c r="B46" t="s">
        <v>9</v>
      </c>
      <c r="C46">
        <v>97.541250000000005</v>
      </c>
      <c r="D46">
        <v>97.541250000000005</v>
      </c>
      <c r="F46" s="19" t="s">
        <v>139</v>
      </c>
      <c r="G46" s="19">
        <f>[1]!IQR(F5:F14,FALSE)</f>
        <v>16.645781250000013</v>
      </c>
      <c r="H46" s="19">
        <f>[1]!IQR(G5:G14,FALSE)</f>
        <v>23.735156250000017</v>
      </c>
      <c r="I46" s="19">
        <f>[1]!IQR(H5:H14,FALSE)</f>
        <v>17.224687499999987</v>
      </c>
      <c r="J46" s="19">
        <f>[1]!IQR(I5:I14,FALSE)</f>
        <v>13.305937499999999</v>
      </c>
      <c r="K46" s="19">
        <f>[1]!IQR(J5:J14,FALSE)</f>
        <v>15.069375000000008</v>
      </c>
      <c r="L46" s="19">
        <f>[1]!IQR(K5:K14,FALSE)</f>
        <v>16.262812499999981</v>
      </c>
      <c r="BI46">
        <v>27.38</v>
      </c>
    </row>
    <row r="47" spans="1:61" x14ac:dyDescent="0.25">
      <c r="A47">
        <v>46</v>
      </c>
      <c r="B47" t="s">
        <v>9</v>
      </c>
      <c r="C47">
        <v>104.345625</v>
      </c>
      <c r="D47">
        <v>104.345625</v>
      </c>
      <c r="BI47">
        <v>29.29</v>
      </c>
    </row>
    <row r="48" spans="1:61" x14ac:dyDescent="0.25">
      <c r="A48">
        <v>47</v>
      </c>
      <c r="B48" t="s">
        <v>9</v>
      </c>
      <c r="C48">
        <v>115.92375</v>
      </c>
      <c r="D48">
        <v>115.92375</v>
      </c>
      <c r="BI48">
        <v>32.54</v>
      </c>
    </row>
    <row r="49" spans="1:61" x14ac:dyDescent="0.25">
      <c r="A49">
        <v>48</v>
      </c>
      <c r="B49" t="s">
        <v>9</v>
      </c>
      <c r="C49">
        <v>107.80125000000001</v>
      </c>
      <c r="D49">
        <v>107.80125000000001</v>
      </c>
      <c r="G49" t="s">
        <v>6</v>
      </c>
      <c r="H49" t="s">
        <v>7</v>
      </c>
      <c r="I49" t="s">
        <v>63</v>
      </c>
      <c r="J49" t="s">
        <v>8</v>
      </c>
      <c r="K49" t="s">
        <v>9</v>
      </c>
      <c r="L49" t="s">
        <v>64</v>
      </c>
      <c r="BI49">
        <v>30.26</v>
      </c>
    </row>
    <row r="50" spans="1:61" x14ac:dyDescent="0.25">
      <c r="A50">
        <v>49</v>
      </c>
      <c r="B50" t="s">
        <v>9</v>
      </c>
      <c r="C50">
        <v>87.886875000000003</v>
      </c>
      <c r="D50">
        <v>87.886875000000003</v>
      </c>
      <c r="F50" t="s">
        <v>74</v>
      </c>
      <c r="G50">
        <v>10</v>
      </c>
      <c r="H50">
        <v>10</v>
      </c>
      <c r="I50">
        <v>10</v>
      </c>
      <c r="J50">
        <v>10</v>
      </c>
      <c r="K50">
        <v>10</v>
      </c>
      <c r="L50">
        <v>10</v>
      </c>
      <c r="BI50">
        <v>24.67</v>
      </c>
    </row>
    <row r="51" spans="1:61" x14ac:dyDescent="0.25">
      <c r="A51">
        <v>50</v>
      </c>
      <c r="B51" t="s">
        <v>9</v>
      </c>
      <c r="C51">
        <v>87.922499999999999</v>
      </c>
      <c r="D51">
        <v>87.922499999999999</v>
      </c>
      <c r="F51" t="s">
        <v>76</v>
      </c>
      <c r="G51">
        <v>93.280500000000004</v>
      </c>
      <c r="H51">
        <v>117.87956249999999</v>
      </c>
      <c r="I51">
        <v>131.83387499999998</v>
      </c>
      <c r="J51">
        <v>113.63306250000001</v>
      </c>
      <c r="K51">
        <v>99.343875000000011</v>
      </c>
      <c r="L51">
        <v>126.825</v>
      </c>
      <c r="BI51">
        <v>24.68</v>
      </c>
    </row>
    <row r="52" spans="1:61" x14ac:dyDescent="0.25">
      <c r="A52">
        <v>51</v>
      </c>
      <c r="B52" t="s">
        <v>64</v>
      </c>
      <c r="C52">
        <v>88.955624999999998</v>
      </c>
      <c r="D52">
        <v>88.955624999999998</v>
      </c>
      <c r="F52" t="s">
        <v>125</v>
      </c>
      <c r="G52">
        <v>3.7045744547282262</v>
      </c>
      <c r="H52">
        <v>4.7050286052033119</v>
      </c>
      <c r="I52">
        <v>4.4606369640445402</v>
      </c>
      <c r="J52">
        <v>3.0180496476667265</v>
      </c>
      <c r="K52">
        <v>3.028195783486431</v>
      </c>
      <c r="L52">
        <v>5.5267428812095059</v>
      </c>
      <c r="BI52">
        <v>24.97</v>
      </c>
    </row>
    <row r="53" spans="1:61" x14ac:dyDescent="0.25">
      <c r="A53">
        <v>52</v>
      </c>
      <c r="B53" t="s">
        <v>64</v>
      </c>
      <c r="C53">
        <v>133.27312499999999</v>
      </c>
      <c r="D53">
        <v>133.27312499999999</v>
      </c>
      <c r="F53" t="s">
        <v>126</v>
      </c>
      <c r="G53">
        <v>93.301874999999995</v>
      </c>
      <c r="H53">
        <v>119.52187500000001</v>
      </c>
      <c r="I53">
        <v>128.28562500000001</v>
      </c>
      <c r="J53">
        <v>113.67937499999999</v>
      </c>
      <c r="K53">
        <v>99.482812499999994</v>
      </c>
      <c r="L53">
        <v>128.855625</v>
      </c>
      <c r="BI53">
        <v>37.409999999999997</v>
      </c>
    </row>
    <row r="54" spans="1:61" x14ac:dyDescent="0.25">
      <c r="A54">
        <v>53</v>
      </c>
      <c r="B54" t="s">
        <v>64</v>
      </c>
      <c r="C54">
        <v>154.861875</v>
      </c>
      <c r="D54">
        <v>154.861875</v>
      </c>
      <c r="F54" t="s">
        <v>133</v>
      </c>
      <c r="G54">
        <v>108.90562500000001</v>
      </c>
      <c r="H54">
        <v>137.548125</v>
      </c>
      <c r="I54">
        <v>157.17750000000001</v>
      </c>
      <c r="J54">
        <v>128.00062499999999</v>
      </c>
      <c r="K54">
        <v>115.92375</v>
      </c>
      <c r="L54">
        <v>154.861875</v>
      </c>
      <c r="BI54">
        <v>43.47</v>
      </c>
    </row>
    <row r="55" spans="1:61" x14ac:dyDescent="0.25">
      <c r="A55">
        <v>54</v>
      </c>
      <c r="B55" t="s">
        <v>64</v>
      </c>
      <c r="C55">
        <v>119.09437499999999</v>
      </c>
      <c r="D55">
        <v>119.09437499999999</v>
      </c>
      <c r="F55" t="s">
        <v>134</v>
      </c>
      <c r="G55">
        <v>73.423124999999999</v>
      </c>
      <c r="H55">
        <v>92.625</v>
      </c>
      <c r="I55">
        <v>113.03812500000001</v>
      </c>
      <c r="J55">
        <v>99.429374999999993</v>
      </c>
      <c r="K55">
        <v>87.495000000000005</v>
      </c>
      <c r="L55">
        <v>88.955624999999998</v>
      </c>
      <c r="BI55">
        <v>33.43</v>
      </c>
    </row>
    <row r="56" spans="1:61" x14ac:dyDescent="0.25">
      <c r="A56">
        <v>55</v>
      </c>
      <c r="B56" t="s">
        <v>64</v>
      </c>
      <c r="C56">
        <v>135.83812499999999</v>
      </c>
      <c r="D56">
        <v>135.83812499999999</v>
      </c>
      <c r="F56" t="s">
        <v>139</v>
      </c>
      <c r="G56">
        <v>16.645781250000013</v>
      </c>
      <c r="H56">
        <v>23.735156250000017</v>
      </c>
      <c r="I56">
        <v>17.224687499999987</v>
      </c>
      <c r="J56">
        <v>13.305937499999999</v>
      </c>
      <c r="K56">
        <v>15.069375000000008</v>
      </c>
      <c r="L56">
        <v>16.262812499999981</v>
      </c>
      <c r="BI56">
        <v>38.130000000000003</v>
      </c>
    </row>
    <row r="57" spans="1:61" x14ac:dyDescent="0.25">
      <c r="A57">
        <v>56</v>
      </c>
      <c r="B57" t="s">
        <v>64</v>
      </c>
      <c r="C57">
        <v>118.88062499999999</v>
      </c>
      <c r="D57">
        <v>118.88062499999999</v>
      </c>
      <c r="F57" t="s">
        <v>101</v>
      </c>
      <c r="G57">
        <v>0.87853331279833502</v>
      </c>
      <c r="H57">
        <v>0.70857920329680091</v>
      </c>
      <c r="I57">
        <v>0.68833639823881221</v>
      </c>
      <c r="J57">
        <v>0.6514809437432203</v>
      </c>
      <c r="K57">
        <v>0.85610072324654296</v>
      </c>
      <c r="L57">
        <v>0.17900443586237991</v>
      </c>
      <c r="BI57">
        <v>33.369999999999997</v>
      </c>
    </row>
    <row r="58" spans="1:61" x14ac:dyDescent="0.25">
      <c r="A58">
        <v>57</v>
      </c>
      <c r="B58" t="s">
        <v>64</v>
      </c>
      <c r="C58">
        <v>131.705625</v>
      </c>
      <c r="D58">
        <v>131.705625</v>
      </c>
      <c r="BI58">
        <v>36.97</v>
      </c>
    </row>
    <row r="59" spans="1:61" x14ac:dyDescent="0.25">
      <c r="A59">
        <v>58</v>
      </c>
      <c r="B59" t="s">
        <v>64</v>
      </c>
      <c r="C59">
        <v>118.845</v>
      </c>
      <c r="D59">
        <v>118.845</v>
      </c>
      <c r="BI59">
        <v>33.36</v>
      </c>
    </row>
    <row r="60" spans="1:61" ht="15.75" thickBot="1" x14ac:dyDescent="0.3">
      <c r="A60">
        <v>59</v>
      </c>
      <c r="B60" t="s">
        <v>64</v>
      </c>
      <c r="C60">
        <v>140.79000000000002</v>
      </c>
      <c r="D60">
        <v>140.79000000000002</v>
      </c>
      <c r="AD60" t="s">
        <v>71</v>
      </c>
      <c r="AJ60" t="s">
        <v>147</v>
      </c>
      <c r="AR60" t="s">
        <v>154</v>
      </c>
      <c r="BI60">
        <v>39.520000000000003</v>
      </c>
    </row>
    <row r="61" spans="1:61" ht="16.5" thickTop="1" thickBot="1" x14ac:dyDescent="0.3">
      <c r="A61">
        <v>60</v>
      </c>
      <c r="B61" t="s">
        <v>64</v>
      </c>
      <c r="C61">
        <v>126.00562499999999</v>
      </c>
      <c r="D61">
        <v>126.00562499999999</v>
      </c>
      <c r="F61" t="s">
        <v>71</v>
      </c>
      <c r="L61" t="s">
        <v>147</v>
      </c>
      <c r="T61" t="s">
        <v>154</v>
      </c>
      <c r="AR61" s="111" t="s">
        <v>105</v>
      </c>
      <c r="AS61" s="111" t="s">
        <v>106</v>
      </c>
      <c r="AT61" s="111" t="s">
        <v>113</v>
      </c>
      <c r="AU61" s="111" t="s">
        <v>84</v>
      </c>
      <c r="AV61" s="111" t="s">
        <v>109</v>
      </c>
      <c r="AW61" s="111" t="s">
        <v>117</v>
      </c>
      <c r="BI61">
        <v>35.369999999999997</v>
      </c>
    </row>
    <row r="62" spans="1:61" ht="16.5" thickTop="1" thickBot="1" x14ac:dyDescent="0.3">
      <c r="T62" s="111" t="s">
        <v>105</v>
      </c>
      <c r="U62" s="111" t="s">
        <v>106</v>
      </c>
      <c r="V62" s="111" t="s">
        <v>113</v>
      </c>
      <c r="W62" s="111" t="s">
        <v>84</v>
      </c>
      <c r="X62" s="111" t="s">
        <v>109</v>
      </c>
      <c r="Y62" s="111" t="s">
        <v>117</v>
      </c>
      <c r="AE62" t="str">
        <f>I4</f>
        <v>EF</v>
      </c>
      <c r="AF62" t="str">
        <f t="shared" ref="AF62:AG62" si="32">J4</f>
        <v>EFR</v>
      </c>
      <c r="AG62" t="str">
        <f t="shared" si="32"/>
        <v>EFRW</v>
      </c>
      <c r="AH62" s="98" t="s">
        <v>76</v>
      </c>
      <c r="AJ62" t="s">
        <v>82</v>
      </c>
      <c r="AN62" t="s">
        <v>72</v>
      </c>
      <c r="AO62">
        <v>0.05</v>
      </c>
      <c r="AR62" s="21" t="str">
        <f t="array" ref="AR62:AR64">TRANSPOSE(I4:K4)</f>
        <v>EF</v>
      </c>
      <c r="AS62" s="21">
        <f>AVERAGE(I5:I14)</f>
        <v>113.63306250000001</v>
      </c>
      <c r="AT62" s="21"/>
      <c r="AU62" s="21"/>
      <c r="AV62" s="21"/>
      <c r="AW62" s="21"/>
    </row>
    <row r="63" spans="1:61" ht="16.5" thickTop="1" thickBot="1" x14ac:dyDescent="0.3">
      <c r="G63" t="str">
        <f>F4</f>
        <v>BFF</v>
      </c>
      <c r="H63" t="str">
        <f t="shared" ref="H63:I63" si="33">G4</f>
        <v>BFFR</v>
      </c>
      <c r="I63" t="str">
        <f t="shared" si="33"/>
        <v>BFFRW</v>
      </c>
      <c r="J63" s="98" t="s">
        <v>76</v>
      </c>
      <c r="L63" t="s">
        <v>82</v>
      </c>
      <c r="P63" t="s">
        <v>72</v>
      </c>
      <c r="Q63">
        <v>0.05</v>
      </c>
      <c r="T63" s="21" t="str">
        <f t="array" ref="T63:T65">TRANSPOSE(F4:H4)</f>
        <v>BFF</v>
      </c>
      <c r="U63" s="21">
        <f>AVERAGE(F5:F14)</f>
        <v>93.280500000000004</v>
      </c>
      <c r="V63" s="21"/>
      <c r="W63" s="21"/>
      <c r="X63" s="21"/>
      <c r="Y63" s="21"/>
      <c r="AE63" s="103">
        <f t="shared" ref="AE63:AE72" si="34">I5</f>
        <v>107.623125</v>
      </c>
      <c r="AF63" s="104">
        <f t="shared" ref="AF63:AF72" si="35">J5</f>
        <v>105.699375</v>
      </c>
      <c r="AG63" s="105">
        <f t="shared" ref="AG63:AG72" si="36">K5</f>
        <v>88.955624999999998</v>
      </c>
      <c r="AH63">
        <f>AVERAGE(AE63:AG63)</f>
        <v>100.75937499999999</v>
      </c>
      <c r="AJ63" s="111" t="s">
        <v>83</v>
      </c>
      <c r="AK63" s="111" t="s">
        <v>78</v>
      </c>
      <c r="AL63" s="111" t="s">
        <v>84</v>
      </c>
      <c r="AM63" s="111" t="s">
        <v>85</v>
      </c>
      <c r="AN63" s="111" t="s">
        <v>86</v>
      </c>
      <c r="AO63" s="111" t="s">
        <v>87</v>
      </c>
      <c r="AP63" s="111" t="s">
        <v>148</v>
      </c>
      <c r="AR63" t="str">
        <v>EFR</v>
      </c>
      <c r="AS63">
        <f>AVERAGE(J5:J14)</f>
        <v>99.343875000000011</v>
      </c>
    </row>
    <row r="64" spans="1:61" ht="15.75" thickTop="1" x14ac:dyDescent="0.25">
      <c r="G64" s="103">
        <f t="shared" ref="G64:I64" si="37">F5</f>
        <v>73.423124999999999</v>
      </c>
      <c r="H64" s="104">
        <f t="shared" si="37"/>
        <v>134.05687499999999</v>
      </c>
      <c r="I64" s="105">
        <f t="shared" si="37"/>
        <v>137.40562500000001</v>
      </c>
      <c r="J64">
        <f>AVERAGE(G64:I64)</f>
        <v>114.96187500000001</v>
      </c>
      <c r="L64" s="111" t="s">
        <v>83</v>
      </c>
      <c r="M64" s="111" t="s">
        <v>78</v>
      </c>
      <c r="N64" s="111" t="s">
        <v>84</v>
      </c>
      <c r="O64" s="111" t="s">
        <v>85</v>
      </c>
      <c r="P64" s="111" t="s">
        <v>86</v>
      </c>
      <c r="Q64" s="111" t="s">
        <v>87</v>
      </c>
      <c r="R64" s="111" t="s">
        <v>148</v>
      </c>
      <c r="T64" t="str">
        <v>BFFR</v>
      </c>
      <c r="U64">
        <f>AVERAGE(G5:G14)</f>
        <v>117.87956249999999</v>
      </c>
      <c r="AE64" s="106">
        <f t="shared" si="34"/>
        <v>111.470625</v>
      </c>
      <c r="AF64">
        <f t="shared" si="35"/>
        <v>97.398750000000007</v>
      </c>
      <c r="AG64" s="107">
        <f t="shared" si="36"/>
        <v>133.27312499999999</v>
      </c>
      <c r="AH64">
        <f t="shared" ref="AH64:AH72" si="38">AVERAGE(AE64:AG64)</f>
        <v>114.0475</v>
      </c>
      <c r="AJ64" t="s">
        <v>149</v>
      </c>
      <c r="AK64">
        <f>(AL65+1)*DEVSQ(AH63:AH72)</f>
        <v>1285.885708710937</v>
      </c>
      <c r="AL64">
        <f>COUNT(AE63:AE72)-1</f>
        <v>9</v>
      </c>
      <c r="AM64">
        <f>AK64/AL64</f>
        <v>142.87618985677079</v>
      </c>
      <c r="AN64">
        <f>AM64/AM66</f>
        <v>0.82740771250553946</v>
      </c>
      <c r="AO64">
        <f>_xlfn.F.DIST.RT(AN64,AL64,AL66)</f>
        <v>0.60004578285369581</v>
      </c>
      <c r="AP64">
        <f>AK64/(AK64+AK66)</f>
        <v>0.29263827386688518</v>
      </c>
      <c r="AR64" s="19" t="str">
        <v>EFRW</v>
      </c>
      <c r="AS64" s="19">
        <f>AVERAGE(K5:K14)</f>
        <v>126.825</v>
      </c>
      <c r="AT64" s="19"/>
      <c r="AU64" s="19"/>
      <c r="AV64" s="19"/>
      <c r="AW64" s="19"/>
    </row>
    <row r="65" spans="6:51" x14ac:dyDescent="0.25">
      <c r="G65" s="106">
        <f t="shared" ref="G65:I65" si="39">F6</f>
        <v>93.266249999999999</v>
      </c>
      <c r="H65">
        <f t="shared" si="39"/>
        <v>132.06187500000001</v>
      </c>
      <c r="I65" s="107">
        <f t="shared" si="39"/>
        <v>157.17750000000001</v>
      </c>
      <c r="J65">
        <f t="shared" ref="J65:J73" si="40">AVERAGE(G65:I65)</f>
        <v>127.501875</v>
      </c>
      <c r="L65" t="s">
        <v>149</v>
      </c>
      <c r="M65">
        <f>(N66+1)*DEVSQ(J64:J73)</f>
        <v>2784.3823815234364</v>
      </c>
      <c r="N65">
        <f>COUNT(G64:G73)-1</f>
        <v>9</v>
      </c>
      <c r="O65">
        <f>M65/N65</f>
        <v>309.3758201692707</v>
      </c>
      <c r="P65">
        <f>O65/O67</f>
        <v>2.4928688466752202</v>
      </c>
      <c r="Q65">
        <f>_xlfn.F.DIST.RT(P65,N65,N67)</f>
        <v>4.7328582819740839E-2</v>
      </c>
      <c r="R65">
        <f>M65/(M65+M67)</f>
        <v>0.55485012622168461</v>
      </c>
      <c r="T65" s="19" t="str">
        <v>BFFRW</v>
      </c>
      <c r="U65" s="19">
        <f>AVERAGE(H5:H14)</f>
        <v>131.83387499999998</v>
      </c>
      <c r="V65" s="19"/>
      <c r="W65" s="19"/>
      <c r="X65" s="19"/>
      <c r="Y65" s="19"/>
      <c r="AE65" s="106">
        <f t="shared" si="34"/>
        <v>99.429374999999993</v>
      </c>
      <c r="AF65">
        <f t="shared" si="35"/>
        <v>101.424375</v>
      </c>
      <c r="AG65" s="107">
        <f t="shared" si="36"/>
        <v>154.861875</v>
      </c>
      <c r="AH65">
        <f t="shared" si="38"/>
        <v>118.57187499999999</v>
      </c>
      <c r="AJ65" t="s">
        <v>150</v>
      </c>
      <c r="AK65">
        <f>(AL64+1)*DEVSQ(AE73:AG73)</f>
        <v>3778.0677522656233</v>
      </c>
      <c r="AL65">
        <f>COUNT(AE63:AG63)-1</f>
        <v>2</v>
      </c>
      <c r="AM65">
        <f>AK65/AL65</f>
        <v>1889.0338761328117</v>
      </c>
      <c r="AN65">
        <f>AM65/AM66</f>
        <v>10.939549828865015</v>
      </c>
      <c r="AO65">
        <f>_xlfn.F.DIST.RT(AN65,AL65,AL66)</f>
        <v>7.7757885649189153E-4</v>
      </c>
      <c r="AP65">
        <f>AK65/(AK65+AK66)</f>
        <v>0.54863574768516765</v>
      </c>
      <c r="AT65">
        <f>SQRT([1]!MSWF(I5:K14,1)/COUNT(I5:I14))</f>
        <v>4.1554699654930243</v>
      </c>
      <c r="AU65">
        <f>[1]!dfWF(I5:K14,1)</f>
        <v>18</v>
      </c>
      <c r="AV65">
        <f>[1]!QCRIT(COUNT(AS62:AS64),AU65,AY66,2)</f>
        <v>3.609</v>
      </c>
      <c r="AW65">
        <f>AT65*AV65</f>
        <v>14.997091105464325</v>
      </c>
    </row>
    <row r="66" spans="6:51" ht="15.75" thickBot="1" x14ac:dyDescent="0.3">
      <c r="G66" s="106">
        <f t="shared" ref="G66:I66" si="41">F7</f>
        <v>108.90562500000001</v>
      </c>
      <c r="H66">
        <f t="shared" si="41"/>
        <v>120.34125</v>
      </c>
      <c r="I66" s="107">
        <f t="shared" si="41"/>
        <v>117.77625000000002</v>
      </c>
      <c r="J66">
        <f t="shared" si="40"/>
        <v>115.67437500000001</v>
      </c>
      <c r="L66" t="s">
        <v>150</v>
      </c>
      <c r="M66">
        <f>(N65+1)*DEVSQ(G74:I74)</f>
        <v>7620.6647903906151</v>
      </c>
      <c r="N66">
        <f>COUNT(G64:I64)-1</f>
        <v>2</v>
      </c>
      <c r="O66">
        <f>M66/N66</f>
        <v>3810.3323951953075</v>
      </c>
      <c r="P66">
        <f>O66/O67</f>
        <v>30.702654519873906</v>
      </c>
      <c r="Q66">
        <f>_xlfn.F.DIST.RT(P66,N66,N67)</f>
        <v>1.5805443366060574E-6</v>
      </c>
      <c r="R66">
        <f>M66/(M66+M67)</f>
        <v>0.77331490529191493</v>
      </c>
      <c r="V66">
        <f>SQRT([1]!MSWF(F5:H14,1)/COUNT(F5:F14))</f>
        <v>3.5228444597000905</v>
      </c>
      <c r="W66">
        <f>[1]!dfWF(F5:H14,1)</f>
        <v>18</v>
      </c>
      <c r="X66">
        <f>[1]!QCRIT(COUNT(U63:U65),W66,AA67,2)</f>
        <v>3.609</v>
      </c>
      <c r="Y66">
        <f>V66*X66</f>
        <v>12.713945655057627</v>
      </c>
      <c r="AE66" s="106">
        <f t="shared" si="34"/>
        <v>106.16250000000001</v>
      </c>
      <c r="AF66">
        <f t="shared" si="35"/>
        <v>87.495000000000005</v>
      </c>
      <c r="AG66" s="107">
        <f t="shared" si="36"/>
        <v>119.09437499999999</v>
      </c>
      <c r="AH66">
        <f t="shared" si="38"/>
        <v>104.25062500000001</v>
      </c>
      <c r="AJ66" t="s">
        <v>151</v>
      </c>
      <c r="AK66">
        <f>AK67-AK64-AK65</f>
        <v>3108.2275141406253</v>
      </c>
      <c r="AL66">
        <f>AL67-AL64-AL65</f>
        <v>18</v>
      </c>
      <c r="AM66">
        <f>AK66/AL66</f>
        <v>172.67930634114586</v>
      </c>
      <c r="AR66" t="s">
        <v>110</v>
      </c>
      <c r="AX66" s="98" t="s">
        <v>102</v>
      </c>
      <c r="AY66">
        <v>0.05</v>
      </c>
    </row>
    <row r="67" spans="6:51" ht="16.5" thickTop="1" thickBot="1" x14ac:dyDescent="0.3">
      <c r="G67" s="106">
        <f t="shared" ref="G67:I67" si="42">F8</f>
        <v>106.51875000000001</v>
      </c>
      <c r="H67">
        <f t="shared" si="42"/>
        <v>118.70250000000001</v>
      </c>
      <c r="I67" s="107">
        <f t="shared" si="42"/>
        <v>139.614375</v>
      </c>
      <c r="J67">
        <f t="shared" si="40"/>
        <v>121.61187500000001</v>
      </c>
      <c r="L67" t="s">
        <v>151</v>
      </c>
      <c r="M67">
        <f>M68-M65-M66</f>
        <v>2233.8779557031348</v>
      </c>
      <c r="N67">
        <f>N68-N65-N66</f>
        <v>18</v>
      </c>
      <c r="O67">
        <f>M67/N67</f>
        <v>124.10433087239637</v>
      </c>
      <c r="T67" t="s">
        <v>110</v>
      </c>
      <c r="Z67" s="98" t="s">
        <v>102</v>
      </c>
      <c r="AA67">
        <v>0.05</v>
      </c>
      <c r="AE67" s="106">
        <f t="shared" si="34"/>
        <v>103.74</v>
      </c>
      <c r="AF67">
        <f t="shared" si="35"/>
        <v>97.541250000000005</v>
      </c>
      <c r="AG67" s="107">
        <f t="shared" si="36"/>
        <v>135.83812499999999</v>
      </c>
      <c r="AH67">
        <f t="shared" si="38"/>
        <v>112.373125</v>
      </c>
      <c r="AJ67" t="s">
        <v>93</v>
      </c>
      <c r="AK67">
        <f>DEVSQ(AE63:AG72)</f>
        <v>8172.1809751171859</v>
      </c>
      <c r="AL67">
        <f>(AL64+1)*(AL65+1)-1</f>
        <v>29</v>
      </c>
      <c r="AR67" s="111" t="s">
        <v>111</v>
      </c>
      <c r="AS67" s="111" t="s">
        <v>112</v>
      </c>
      <c r="AT67" s="111" t="s">
        <v>106</v>
      </c>
      <c r="AU67" s="111" t="s">
        <v>114</v>
      </c>
      <c r="AV67" s="111" t="s">
        <v>115</v>
      </c>
      <c r="AW67" s="111" t="s">
        <v>116</v>
      </c>
      <c r="AX67" s="111" t="s">
        <v>101</v>
      </c>
      <c r="AY67" s="111" t="s">
        <v>118</v>
      </c>
    </row>
    <row r="68" spans="6:51" ht="15.75" thickTop="1" x14ac:dyDescent="0.25">
      <c r="G68" s="106">
        <f t="shared" ref="G68:I68" si="43">F9</f>
        <v>93.337500000000006</v>
      </c>
      <c r="H68">
        <f t="shared" si="43"/>
        <v>92.625</v>
      </c>
      <c r="I68" s="107">
        <f t="shared" si="43"/>
        <v>120.1275</v>
      </c>
      <c r="J68">
        <f t="shared" si="40"/>
        <v>102.03000000000002</v>
      </c>
      <c r="L68" t="s">
        <v>93</v>
      </c>
      <c r="M68">
        <f>DEVSQ(G64:I73)</f>
        <v>12638.925127617185</v>
      </c>
      <c r="N68">
        <f>(N65+1)*(N66+1)-1</f>
        <v>29</v>
      </c>
      <c r="T68" s="111" t="s">
        <v>111</v>
      </c>
      <c r="U68" s="111" t="s">
        <v>112</v>
      </c>
      <c r="V68" s="111" t="s">
        <v>106</v>
      </c>
      <c r="W68" s="111" t="s">
        <v>114</v>
      </c>
      <c r="X68" s="111" t="s">
        <v>115</v>
      </c>
      <c r="Y68" s="111" t="s">
        <v>116</v>
      </c>
      <c r="Z68" s="111" t="s">
        <v>101</v>
      </c>
      <c r="AA68" s="111" t="s">
        <v>118</v>
      </c>
      <c r="AE68" s="106">
        <f t="shared" si="34"/>
        <v>117.669375</v>
      </c>
      <c r="AF68">
        <f t="shared" si="35"/>
        <v>104.345625</v>
      </c>
      <c r="AG68" s="107">
        <f t="shared" si="36"/>
        <v>118.88062499999999</v>
      </c>
      <c r="AH68">
        <f t="shared" si="38"/>
        <v>113.63187499999999</v>
      </c>
      <c r="AJ68" s="21"/>
      <c r="AK68" s="21"/>
      <c r="AL68" s="21"/>
      <c r="AM68" s="21"/>
      <c r="AN68" s="21"/>
      <c r="AO68" s="21"/>
      <c r="AP68" s="21"/>
      <c r="AR68" s="21" t="str">
        <f>AR62</f>
        <v>EF</v>
      </c>
      <c r="AS68" s="21" t="str">
        <f>AR63</f>
        <v>EFR</v>
      </c>
      <c r="AT68" s="21">
        <f>ABS(AS62-AS63)</f>
        <v>14.289187499999997</v>
      </c>
      <c r="AU68" s="21">
        <f>AT68/AT$65</f>
        <v>3.438645356279133</v>
      </c>
      <c r="AV68" s="21">
        <f>AT68-AW$65</f>
        <v>-0.70790360546432751</v>
      </c>
      <c r="AW68" s="21">
        <f>AT68+AW$65</f>
        <v>29.286278605464322</v>
      </c>
      <c r="AX68" s="21">
        <f>[1]!QDIST(AU68,COUNT(AS$62:AS$64),AU$65)</f>
        <v>6.3363137366186595E-2</v>
      </c>
      <c r="AY68" s="21">
        <f>AU68/SQRT(COUNT(I$5:I$14))</f>
        <v>1.0873951391403238</v>
      </c>
    </row>
    <row r="69" spans="6:51" ht="15.75" thickBot="1" x14ac:dyDescent="0.3">
      <c r="G69" s="106">
        <f t="shared" ref="G69:I69" si="44">F10</f>
        <v>84.965625000000003</v>
      </c>
      <c r="H69">
        <f t="shared" si="44"/>
        <v>102.17249999999999</v>
      </c>
      <c r="I69" s="107">
        <f t="shared" si="44"/>
        <v>129.354375</v>
      </c>
      <c r="J69">
        <f t="shared" si="40"/>
        <v>105.4975</v>
      </c>
      <c r="L69" s="21"/>
      <c r="M69" s="21"/>
      <c r="N69" s="21"/>
      <c r="O69" s="21"/>
      <c r="P69" s="21"/>
      <c r="Q69" s="21"/>
      <c r="R69" s="21"/>
      <c r="T69" s="21" t="str">
        <f>T63</f>
        <v>BFF</v>
      </c>
      <c r="U69" s="21" t="str">
        <f>T64</f>
        <v>BFFR</v>
      </c>
      <c r="V69" s="21">
        <f>ABS(U63-U64)</f>
        <v>24.599062499999988</v>
      </c>
      <c r="W69" s="21">
        <f>V69/V$66</f>
        <v>6.982727390153971</v>
      </c>
      <c r="X69" s="21">
        <f>V69-Y$66</f>
        <v>11.885116844942361</v>
      </c>
      <c r="Y69" s="21">
        <f>V69+Y$66</f>
        <v>37.313008155057616</v>
      </c>
      <c r="Z69" s="21">
        <f>[1]!QDIST(W69,COUNT(U$63:U$65),W$66)</f>
        <v>2.9871660029223701E-4</v>
      </c>
      <c r="AA69" s="21">
        <f>W69/SQRT(COUNT(F$5:F$14))</f>
        <v>2.2081322832929753</v>
      </c>
      <c r="AE69" s="106">
        <f t="shared" si="34"/>
        <v>125.79187500000002</v>
      </c>
      <c r="AF69">
        <f t="shared" si="35"/>
        <v>115.92375</v>
      </c>
      <c r="AG69" s="107">
        <f t="shared" si="36"/>
        <v>131.705625</v>
      </c>
      <c r="AH69">
        <f t="shared" si="38"/>
        <v>124.47375</v>
      </c>
      <c r="AJ69" t="s">
        <v>152</v>
      </c>
      <c r="AN69" t="s">
        <v>72</v>
      </c>
      <c r="AO69">
        <v>0.05</v>
      </c>
      <c r="AR69" t="str">
        <f>AR62</f>
        <v>EF</v>
      </c>
      <c r="AS69" t="str">
        <f>AR64</f>
        <v>EFRW</v>
      </c>
      <c r="AT69">
        <f>ABS(AS62-AS64)</f>
        <v>13.191937499999995</v>
      </c>
      <c r="AU69">
        <f t="shared" ref="AU69:AU70" si="45">AT69/AT$65</f>
        <v>3.1745958001250627</v>
      </c>
      <c r="AV69">
        <f t="shared" ref="AV69:AV70" si="46">AT69-AW$65</f>
        <v>-1.80515360546433</v>
      </c>
      <c r="AW69">
        <f t="shared" ref="AW69:AW70" si="47">AT69+AW$65</f>
        <v>28.189028605464319</v>
      </c>
      <c r="AX69">
        <f>[1]!QDIST(AU69,COUNT(AS$62:AS$64),AU$65)</f>
        <v>9.0437738046211802E-2</v>
      </c>
      <c r="AY69">
        <f t="shared" ref="AY69:AY70" si="48">AU69/SQRT(COUNT(I$5:I$14))</f>
        <v>1.0038953378799846</v>
      </c>
    </row>
    <row r="70" spans="6:51" ht="16.5" thickTop="1" thickBot="1" x14ac:dyDescent="0.3">
      <c r="G70" s="106">
        <f t="shared" ref="G70:I70" si="49">F11</f>
        <v>80.583750000000009</v>
      </c>
      <c r="H70">
        <f t="shared" si="49"/>
        <v>114.07125000000002</v>
      </c>
      <c r="I70" s="107">
        <f t="shared" si="49"/>
        <v>113.03812500000001</v>
      </c>
      <c r="J70">
        <f t="shared" si="40"/>
        <v>102.564375</v>
      </c>
      <c r="L70" t="s">
        <v>152</v>
      </c>
      <c r="P70" t="s">
        <v>72</v>
      </c>
      <c r="Q70">
        <v>0.05</v>
      </c>
      <c r="T70" t="str">
        <f>T63</f>
        <v>BFF</v>
      </c>
      <c r="U70" t="str">
        <f>T65</f>
        <v>BFFRW</v>
      </c>
      <c r="V70">
        <f>ABS(U63-U65)</f>
        <v>38.553374999999974</v>
      </c>
      <c r="W70">
        <f t="shared" ref="W70:W71" si="50">V70/V$66</f>
        <v>10.943819814083454</v>
      </c>
      <c r="X70">
        <f t="shared" ref="X70:X71" si="51">V70-Y$66</f>
        <v>25.839429344942346</v>
      </c>
      <c r="Y70">
        <f t="shared" ref="Y70:Y71" si="52">V70+Y$66</f>
        <v>51.267320655057603</v>
      </c>
      <c r="Z70">
        <f>[1]!QDIST(W70,COUNT(U$63:U$65),W$66)</f>
        <v>1.132510391910202E-6</v>
      </c>
      <c r="AA70">
        <f t="shared" ref="AA70:AA71" si="53">W70/SQRT(COUNT(F$5:F$14))</f>
        <v>3.4607396914984174</v>
      </c>
      <c r="AE70" s="106">
        <f t="shared" si="34"/>
        <v>115.888125</v>
      </c>
      <c r="AF70">
        <f t="shared" si="35"/>
        <v>107.80125000000001</v>
      </c>
      <c r="AG70" s="107">
        <f t="shared" si="36"/>
        <v>118.845</v>
      </c>
      <c r="AH70">
        <f t="shared" si="38"/>
        <v>114.17812500000001</v>
      </c>
      <c r="AJ70" s="111" t="s">
        <v>83</v>
      </c>
      <c r="AK70" s="111" t="s">
        <v>78</v>
      </c>
      <c r="AL70" s="111" t="s">
        <v>84</v>
      </c>
      <c r="AM70" s="111" t="s">
        <v>85</v>
      </c>
      <c r="AN70" s="111" t="s">
        <v>86</v>
      </c>
      <c r="AO70" s="111" t="s">
        <v>87</v>
      </c>
      <c r="AP70" s="111" t="s">
        <v>148</v>
      </c>
      <c r="AR70" s="19" t="str">
        <f>AR63</f>
        <v>EFR</v>
      </c>
      <c r="AS70" s="19" t="str">
        <f>AR64</f>
        <v>EFRW</v>
      </c>
      <c r="AT70" s="19">
        <f>ABS(AS63-AS64)</f>
        <v>27.481124999999992</v>
      </c>
      <c r="AU70" s="19">
        <f t="shared" si="45"/>
        <v>6.6132411564041957</v>
      </c>
      <c r="AV70" s="19">
        <f t="shared" si="46"/>
        <v>12.484033894535667</v>
      </c>
      <c r="AW70" s="19">
        <f t="shared" si="47"/>
        <v>42.478216105464313</v>
      </c>
      <c r="AX70" s="19">
        <f>[1]!QDIST(AU70,COUNT(AS$62:AS$64),AU$65)</f>
        <v>5.2539451047184382E-4</v>
      </c>
      <c r="AY70" s="19">
        <f t="shared" si="48"/>
        <v>2.0912904770203085</v>
      </c>
    </row>
    <row r="71" spans="6:51" ht="15.75" thickTop="1" x14ac:dyDescent="0.25">
      <c r="G71" s="106">
        <f t="shared" ref="G71:I71" si="54">F12</f>
        <v>91.449375000000003</v>
      </c>
      <c r="H71">
        <f t="shared" si="54"/>
        <v>123.61875000000001</v>
      </c>
      <c r="I71" s="107">
        <f t="shared" si="54"/>
        <v>127.216875</v>
      </c>
      <c r="J71">
        <f t="shared" si="40"/>
        <v>114.09500000000001</v>
      </c>
      <c r="L71" s="111" t="s">
        <v>83</v>
      </c>
      <c r="M71" s="111" t="s">
        <v>78</v>
      </c>
      <c r="N71" s="111" t="s">
        <v>84</v>
      </c>
      <c r="O71" s="111" t="s">
        <v>85</v>
      </c>
      <c r="P71" s="111" t="s">
        <v>86</v>
      </c>
      <c r="Q71" s="111" t="s">
        <v>87</v>
      </c>
      <c r="R71" s="111" t="s">
        <v>148</v>
      </c>
      <c r="T71" s="19" t="str">
        <f>T64</f>
        <v>BFFR</v>
      </c>
      <c r="U71" s="19" t="str">
        <f>T65</f>
        <v>BFFRW</v>
      </c>
      <c r="V71" s="19">
        <f>ABS(U64-U65)</f>
        <v>13.954312499999986</v>
      </c>
      <c r="W71" s="19">
        <f t="shared" si="50"/>
        <v>3.9610924239294842</v>
      </c>
      <c r="X71" s="19">
        <f t="shared" si="51"/>
        <v>1.2403668449423595</v>
      </c>
      <c r="Y71" s="19">
        <f t="shared" si="52"/>
        <v>26.668258155057615</v>
      </c>
      <c r="Z71" s="19">
        <f>[1]!QDIST(W71,COUNT(U$63:U$65),W$66)</f>
        <v>3.0246810664154578E-2</v>
      </c>
      <c r="AA71" s="19">
        <f t="shared" si="53"/>
        <v>1.2526074082054424</v>
      </c>
      <c r="AE71" s="106">
        <f t="shared" si="34"/>
        <v>128.00062499999999</v>
      </c>
      <c r="AF71">
        <f t="shared" si="35"/>
        <v>87.886875000000003</v>
      </c>
      <c r="AG71" s="107">
        <f t="shared" si="36"/>
        <v>140.79000000000002</v>
      </c>
      <c r="AH71">
        <f t="shared" si="38"/>
        <v>118.8925</v>
      </c>
      <c r="AJ71" t="s">
        <v>150</v>
      </c>
      <c r="AK71">
        <f>AK65</f>
        <v>3778.0677522656233</v>
      </c>
      <c r="AL71">
        <f>AL65*AE76</f>
        <v>1.5899626812640797</v>
      </c>
      <c r="AM71">
        <f>AK71/AL71</f>
        <v>2376.1990119553739</v>
      </c>
      <c r="AN71">
        <f>AM71/AM72</f>
        <v>10.939549828865015</v>
      </c>
      <c r="AO71">
        <f>[1]!F_DIST_RT(AN71,AL71,AL72)</f>
        <v>2.1143791081580376E-3</v>
      </c>
      <c r="AP71">
        <f>AK71/(AK71+AK72)</f>
        <v>0.54863574768516765</v>
      </c>
    </row>
    <row r="72" spans="6:51" x14ac:dyDescent="0.25">
      <c r="G72" s="106">
        <f t="shared" ref="G72:I72" si="55">F13</f>
        <v>93.373125000000002</v>
      </c>
      <c r="H72">
        <f t="shared" si="55"/>
        <v>103.5975</v>
      </c>
      <c r="I72" s="107">
        <f t="shared" si="55"/>
        <v>126.9675</v>
      </c>
      <c r="J72">
        <f t="shared" si="40"/>
        <v>107.979375</v>
      </c>
      <c r="L72" t="s">
        <v>150</v>
      </c>
      <c r="M72">
        <f>M66</f>
        <v>7620.6647903906151</v>
      </c>
      <c r="N72">
        <f>N66*G77</f>
        <v>1.7052149343631011</v>
      </c>
      <c r="O72">
        <f>M72/N72</f>
        <v>4469.034745603456</v>
      </c>
      <c r="P72">
        <f>O72/O73</f>
        <v>30.702654519873906</v>
      </c>
      <c r="Q72">
        <f>[1]!F_DIST_RT(P72,N72,N73)</f>
        <v>7.7436791423579621E-6</v>
      </c>
      <c r="R72">
        <f>M72/(M72+M73)</f>
        <v>0.77331490529191493</v>
      </c>
      <c r="AE72" s="108">
        <f t="shared" si="34"/>
        <v>120.55500000000001</v>
      </c>
      <c r="AF72" s="109">
        <f t="shared" si="35"/>
        <v>87.922499999999999</v>
      </c>
      <c r="AG72" s="110">
        <f t="shared" si="36"/>
        <v>126.00562499999999</v>
      </c>
      <c r="AH72">
        <f t="shared" si="38"/>
        <v>111.49437500000001</v>
      </c>
      <c r="AJ72" t="s">
        <v>151</v>
      </c>
      <c r="AK72">
        <f>AK66</f>
        <v>3108.2275141406253</v>
      </c>
      <c r="AL72">
        <f>AL66*AE76</f>
        <v>14.309664131376717</v>
      </c>
      <c r="AM72">
        <f>AK72/AL72</f>
        <v>217.21177279942111</v>
      </c>
    </row>
    <row r="73" spans="6:51" x14ac:dyDescent="0.25">
      <c r="G73" s="108">
        <f t="shared" ref="G73:I73" si="56">F14</f>
        <v>106.981875</v>
      </c>
      <c r="H73" s="109">
        <f t="shared" si="56"/>
        <v>137.548125</v>
      </c>
      <c r="I73" s="110">
        <f t="shared" si="56"/>
        <v>149.66062499999998</v>
      </c>
      <c r="J73">
        <f t="shared" si="40"/>
        <v>131.39687499999999</v>
      </c>
      <c r="L73" t="s">
        <v>151</v>
      </c>
      <c r="M73">
        <f>M67</f>
        <v>2233.8779557031348</v>
      </c>
      <c r="N73">
        <f>N67*G77</f>
        <v>15.346934409267909</v>
      </c>
      <c r="O73">
        <f>M73/N73</f>
        <v>145.55857841903014</v>
      </c>
      <c r="AD73" t="s">
        <v>76</v>
      </c>
      <c r="AE73">
        <f>AVERAGE(AE63:AE72)</f>
        <v>113.63306250000001</v>
      </c>
      <c r="AF73">
        <f t="shared" ref="AF73:AH73" si="57">AVERAGE(AF63:AF72)</f>
        <v>99.343875000000011</v>
      </c>
      <c r="AG73">
        <f t="shared" si="57"/>
        <v>126.825</v>
      </c>
      <c r="AH73">
        <f t="shared" si="57"/>
        <v>113.2673125</v>
      </c>
      <c r="AJ73" s="21"/>
      <c r="AK73" s="21"/>
      <c r="AL73" s="21"/>
      <c r="AM73" s="21"/>
      <c r="AN73" s="21"/>
      <c r="AO73" s="21"/>
      <c r="AP73" s="21"/>
    </row>
    <row r="74" spans="6:51" ht="15.75" thickBot="1" x14ac:dyDescent="0.3">
      <c r="F74" t="s">
        <v>76</v>
      </c>
      <c r="G74">
        <f>AVERAGE(G64:G73)</f>
        <v>93.280500000000004</v>
      </c>
      <c r="H74">
        <f t="shared" ref="H74:J74" si="58">AVERAGE(H64:H73)</f>
        <v>117.87956249999999</v>
      </c>
      <c r="I74">
        <f t="shared" si="58"/>
        <v>131.83387499999998</v>
      </c>
      <c r="J74">
        <f t="shared" si="58"/>
        <v>114.3313125</v>
      </c>
      <c r="L74" s="21"/>
      <c r="M74" s="21"/>
      <c r="N74" s="21"/>
      <c r="O74" s="21"/>
      <c r="P74" s="21"/>
      <c r="Q74" s="21"/>
      <c r="R74" s="21"/>
      <c r="AD74" t="s">
        <v>77</v>
      </c>
      <c r="AE74">
        <f>VAR(AE63:AE72)</f>
        <v>91.086236757812529</v>
      </c>
      <c r="AF74">
        <f t="shared" ref="AF74:AH74" si="59">VAR(AF63:AF72)</f>
        <v>91.699697031249997</v>
      </c>
      <c r="AG74">
        <f t="shared" si="59"/>
        <v>305.44886874999952</v>
      </c>
      <c r="AH74">
        <f t="shared" si="59"/>
        <v>47.625396618923588</v>
      </c>
      <c r="AJ74" t="s">
        <v>153</v>
      </c>
      <c r="AN74" t="s">
        <v>72</v>
      </c>
      <c r="AO74">
        <v>0.05</v>
      </c>
    </row>
    <row r="75" spans="6:51" ht="16.5" thickTop="1" thickBot="1" x14ac:dyDescent="0.3">
      <c r="F75" t="s">
        <v>77</v>
      </c>
      <c r="G75">
        <f>VAR(G64:G73)</f>
        <v>137.23871890624935</v>
      </c>
      <c r="H75">
        <f t="shared" ref="H75:J75" si="60">VAR(H64:H73)</f>
        <v>221.37294175781426</v>
      </c>
      <c r="I75">
        <f t="shared" si="60"/>
        <v>198.97282125000493</v>
      </c>
      <c r="J75">
        <f t="shared" si="60"/>
        <v>103.1252733897569</v>
      </c>
      <c r="L75" t="s">
        <v>153</v>
      </c>
      <c r="P75" t="s">
        <v>72</v>
      </c>
      <c r="Q75">
        <v>0.05</v>
      </c>
      <c r="AJ75" s="111" t="s">
        <v>83</v>
      </c>
      <c r="AK75" s="111" t="s">
        <v>78</v>
      </c>
      <c r="AL75" s="111" t="s">
        <v>84</v>
      </c>
      <c r="AM75" s="111" t="s">
        <v>85</v>
      </c>
      <c r="AN75" s="111" t="s">
        <v>86</v>
      </c>
      <c r="AO75" s="111" t="s">
        <v>87</v>
      </c>
      <c r="AP75" s="111" t="s">
        <v>148</v>
      </c>
    </row>
    <row r="76" spans="6:51" ht="15.75" thickTop="1" x14ac:dyDescent="0.25">
      <c r="L76" s="111" t="s">
        <v>83</v>
      </c>
      <c r="M76" s="111" t="s">
        <v>78</v>
      </c>
      <c r="N76" s="111" t="s">
        <v>84</v>
      </c>
      <c r="O76" s="111" t="s">
        <v>85</v>
      </c>
      <c r="P76" s="111" t="s">
        <v>86</v>
      </c>
      <c r="Q76" s="111" t="s">
        <v>87</v>
      </c>
      <c r="R76" s="111" t="s">
        <v>148</v>
      </c>
      <c r="AD76" t="s">
        <v>145</v>
      </c>
      <c r="AE76" s="113">
        <f>[1]!GGEpsilon(AE63:AG72)</f>
        <v>0.79498134063203985</v>
      </c>
      <c r="AJ76" t="s">
        <v>150</v>
      </c>
      <c r="AK76">
        <f>AK65</f>
        <v>3778.0677522656233</v>
      </c>
      <c r="AL76">
        <f>AL65*AE77</f>
        <v>1.8757836451776382</v>
      </c>
      <c r="AM76">
        <f>AK76/AL76</f>
        <v>2014.127675107135</v>
      </c>
      <c r="AN76">
        <f>AM76/AM77</f>
        <v>10.939549828865015</v>
      </c>
      <c r="AO76">
        <f>[1]!F_DIST_RT(AN76,AL76,AL77)</f>
        <v>1.051631673772202E-3</v>
      </c>
      <c r="AP76">
        <f>AK76/(AK76+AK77)</f>
        <v>0.54863574768516765</v>
      </c>
    </row>
    <row r="77" spans="6:51" x14ac:dyDescent="0.25">
      <c r="F77" t="s">
        <v>145</v>
      </c>
      <c r="G77" s="113">
        <f>[1]!GGEpsilon(G64:I73)</f>
        <v>0.85260746718155056</v>
      </c>
      <c r="L77" t="s">
        <v>150</v>
      </c>
      <c r="M77">
        <f>M66</f>
        <v>7620.6647903906151</v>
      </c>
      <c r="N77">
        <f>N66*G78</f>
        <v>2</v>
      </c>
      <c r="O77">
        <f>M77/N77</f>
        <v>3810.3323951953075</v>
      </c>
      <c r="P77">
        <f>O77/O78</f>
        <v>30.702654519873906</v>
      </c>
      <c r="Q77">
        <f>[1]!F_DIST_RT(P77,N77,N78)</f>
        <v>1.5805443366323502E-6</v>
      </c>
      <c r="R77">
        <f>M77/(M77+M78)</f>
        <v>0.77331490529191493</v>
      </c>
      <c r="AD77" t="s">
        <v>146</v>
      </c>
      <c r="AE77" s="118">
        <f>[1]!HFEpsilon(AE63:AG72)</f>
        <v>0.93789182258881909</v>
      </c>
      <c r="AJ77" t="s">
        <v>151</v>
      </c>
      <c r="AK77">
        <f>AK66</f>
        <v>3108.2275141406253</v>
      </c>
      <c r="AL77">
        <f>AL66*AE77</f>
        <v>16.882052806598743</v>
      </c>
      <c r="AM77">
        <f>AK77/AL77</f>
        <v>184.1143106083463</v>
      </c>
    </row>
    <row r="78" spans="6:51" x14ac:dyDescent="0.25">
      <c r="F78" t="s">
        <v>146</v>
      </c>
      <c r="G78" s="118">
        <f>[1]!HFEpsilon(G64:I73)</f>
        <v>1</v>
      </c>
      <c r="L78" t="s">
        <v>151</v>
      </c>
      <c r="M78">
        <f>M67</f>
        <v>2233.8779557031348</v>
      </c>
      <c r="N78">
        <f>N67*G78</f>
        <v>18</v>
      </c>
      <c r="O78">
        <f>M78/N78</f>
        <v>124.10433087239637</v>
      </c>
      <c r="AJ78" s="21"/>
      <c r="AK78" s="21"/>
      <c r="AL78" s="21"/>
      <c r="AM78" s="21"/>
      <c r="AN78" s="21"/>
      <c r="AO78" s="21"/>
      <c r="AP78" s="21"/>
    </row>
    <row r="79" spans="6:51" x14ac:dyDescent="0.25">
      <c r="L79" s="21"/>
      <c r="M79" s="21"/>
      <c r="N79" s="21"/>
      <c r="O79" s="21"/>
      <c r="P79" s="21"/>
      <c r="Q79" s="21"/>
      <c r="R79" s="21"/>
    </row>
    <row r="82" spans="6:13" x14ac:dyDescent="0.25">
      <c r="L82" t="s">
        <v>145</v>
      </c>
      <c r="M82">
        <v>0.85260746718154901</v>
      </c>
    </row>
    <row r="83" spans="6:13" x14ac:dyDescent="0.25">
      <c r="F83" t="s">
        <v>155</v>
      </c>
      <c r="I83" t="s">
        <v>155</v>
      </c>
      <c r="L83" t="s">
        <v>145</v>
      </c>
      <c r="M83">
        <v>0.79498134063203973</v>
      </c>
    </row>
    <row r="85" spans="6:13" x14ac:dyDescent="0.25">
      <c r="F85" t="s">
        <v>156</v>
      </c>
      <c r="G85" s="112" t="s">
        <v>101</v>
      </c>
      <c r="I85" t="s">
        <v>156</v>
      </c>
      <c r="J85" s="112" t="s">
        <v>101</v>
      </c>
    </row>
    <row r="86" spans="6:13" x14ac:dyDescent="0.25">
      <c r="F86" t="s">
        <v>157</v>
      </c>
      <c r="G86" s="113">
        <f>[1]!LEVENE(F5:H14)</f>
        <v>0.60213930263117477</v>
      </c>
      <c r="I86" t="s">
        <v>157</v>
      </c>
      <c r="J86" s="113">
        <f>[1]!LEVENE(I5:K14)</f>
        <v>0.31507290015619094</v>
      </c>
    </row>
    <row r="87" spans="6:13" x14ac:dyDescent="0.25">
      <c r="F87" t="s">
        <v>158</v>
      </c>
      <c r="G87" s="114">
        <f>[1]!LEVENE(F5:H14,1)</f>
        <v>0.69892306826121231</v>
      </c>
      <c r="I87" t="s">
        <v>158</v>
      </c>
      <c r="J87" s="114">
        <f>[1]!LEVENE(I5:K14,1)</f>
        <v>0.32392789614045303</v>
      </c>
    </row>
    <row r="88" spans="6:13" x14ac:dyDescent="0.25">
      <c r="F88" t="s">
        <v>159</v>
      </c>
      <c r="G88" s="118">
        <f>[1]!LEVENE(F5:H14,-1)</f>
        <v>0.60213930263117477</v>
      </c>
      <c r="I88" t="s">
        <v>159</v>
      </c>
      <c r="J88" s="118">
        <f>[1]!LEVENE(I5:K14,-1)</f>
        <v>0.31507290015619094</v>
      </c>
    </row>
    <row r="92" spans="6:13" x14ac:dyDescent="0.25">
      <c r="F92" t="s">
        <v>155</v>
      </c>
      <c r="I92">
        <v>0.60213930263117599</v>
      </c>
      <c r="J92">
        <v>0.31507290015619105</v>
      </c>
      <c r="K92">
        <v>0.58321528120485877</v>
      </c>
    </row>
    <row r="94" spans="6:13" x14ac:dyDescent="0.25">
      <c r="F94" t="s">
        <v>156</v>
      </c>
      <c r="G94" s="112" t="s">
        <v>101</v>
      </c>
    </row>
    <row r="95" spans="6:13" x14ac:dyDescent="0.25">
      <c r="F95" t="s">
        <v>157</v>
      </c>
      <c r="G95" s="113">
        <f>[1]!LEVENE(F5:K14)</f>
        <v>0.58321528120485799</v>
      </c>
    </row>
    <row r="96" spans="6:13" x14ac:dyDescent="0.25">
      <c r="F96" t="s">
        <v>158</v>
      </c>
      <c r="G96" s="114">
        <f>[1]!LEVENE(F5:K14,1)</f>
        <v>0.67478315933784827</v>
      </c>
    </row>
    <row r="97" spans="6:14" x14ac:dyDescent="0.25">
      <c r="F97" t="s">
        <v>159</v>
      </c>
      <c r="G97" s="118">
        <f>[1]!LEVENE(F5:K14,-1)</f>
        <v>0.58321528120485799</v>
      </c>
    </row>
    <row r="100" spans="6:14" x14ac:dyDescent="0.25">
      <c r="F100" t="s">
        <v>70</v>
      </c>
    </row>
    <row r="102" spans="6:14" ht="15.75" thickBot="1" x14ac:dyDescent="0.3">
      <c r="F102" t="s">
        <v>71</v>
      </c>
      <c r="K102" t="s">
        <v>72</v>
      </c>
      <c r="L102">
        <v>0.05</v>
      </c>
    </row>
    <row r="103" spans="6:14" ht="15.75" thickTop="1" x14ac:dyDescent="0.25">
      <c r="F103" s="111" t="s">
        <v>73</v>
      </c>
      <c r="G103" s="111" t="s">
        <v>74</v>
      </c>
      <c r="H103" s="111" t="s">
        <v>75</v>
      </c>
      <c r="I103" s="111" t="s">
        <v>76</v>
      </c>
      <c r="J103" s="111" t="s">
        <v>77</v>
      </c>
      <c r="K103" s="111" t="s">
        <v>78</v>
      </c>
      <c r="L103" s="111" t="s">
        <v>79</v>
      </c>
      <c r="M103" s="111" t="s">
        <v>80</v>
      </c>
      <c r="N103" s="111" t="s">
        <v>81</v>
      </c>
    </row>
    <row r="104" spans="6:14" x14ac:dyDescent="0.25">
      <c r="F104" t="str">
        <f>F4</f>
        <v>BFF</v>
      </c>
      <c r="G104">
        <f>COUNT(F5:F14)</f>
        <v>10</v>
      </c>
      <c r="H104">
        <f>SUM(F5:F14)</f>
        <v>932.80500000000006</v>
      </c>
      <c r="I104">
        <f>AVERAGE(F5:F14)</f>
        <v>93.280500000000004</v>
      </c>
      <c r="J104">
        <f>_xlfn.VAR.S(F5:F14)</f>
        <v>137.23871890624935</v>
      </c>
      <c r="K104">
        <f>DEVSQ(F5:F14)</f>
        <v>1235.1484701562506</v>
      </c>
      <c r="L104">
        <f>SQRT(I111/G104)</f>
        <v>4.3111656657028865</v>
      </c>
      <c r="M104">
        <f>I104-L104*_xlfn.T.INV.2T(L102,H111)</f>
        <v>84.434718725508773</v>
      </c>
      <c r="N104">
        <f>I104+L104*_xlfn.T.INV.2T(L102,H111)</f>
        <v>102.12628127449123</v>
      </c>
    </row>
    <row r="105" spans="6:14" x14ac:dyDescent="0.25">
      <c r="F105" t="str">
        <f>G4</f>
        <v>BFFR</v>
      </c>
      <c r="G105">
        <f>COUNT(G5:G14)</f>
        <v>10</v>
      </c>
      <c r="H105">
        <f>SUM(G5:G14)</f>
        <v>1178.795625</v>
      </c>
      <c r="I105">
        <f>AVERAGE(G5:G14)</f>
        <v>117.87956249999999</v>
      </c>
      <c r="J105">
        <f>_xlfn.VAR.S(G5:G14)</f>
        <v>221.37294175781426</v>
      </c>
      <c r="K105">
        <f>DEVSQ(G5:G14)</f>
        <v>1992.3564758203129</v>
      </c>
      <c r="L105">
        <f>SQRT(I111/G105)</f>
        <v>4.3111656657028865</v>
      </c>
      <c r="M105">
        <f>I105-L105*_xlfn.T.INV.2T(L102,H111)</f>
        <v>109.03378122550876</v>
      </c>
      <c r="N105">
        <f>I105+L105*_xlfn.T.INV.2T(L102,H111)</f>
        <v>126.72534377449122</v>
      </c>
    </row>
    <row r="106" spans="6:14" x14ac:dyDescent="0.25">
      <c r="F106" t="str">
        <f>H4</f>
        <v>BFFRW</v>
      </c>
      <c r="G106">
        <f>COUNT(H5:H14)</f>
        <v>10</v>
      </c>
      <c r="H106">
        <f>SUM(H5:H14)</f>
        <v>1318.3387499999999</v>
      </c>
      <c r="I106">
        <f>AVERAGE(H5:H14)</f>
        <v>131.83387499999998</v>
      </c>
      <c r="J106">
        <f>_xlfn.VAR.S(H5:H14)</f>
        <v>198.97282125000493</v>
      </c>
      <c r="K106">
        <f>DEVSQ(H5:H14)</f>
        <v>1790.7553912499993</v>
      </c>
      <c r="L106">
        <f>SQRT(I111/G106)</f>
        <v>4.3111656657028865</v>
      </c>
      <c r="M106">
        <f>I106-L106*_xlfn.T.INV.2T(L102,H111)</f>
        <v>122.98809372550875</v>
      </c>
      <c r="N106">
        <f>I106+L106*_xlfn.T.INV.2T(L102,H111)</f>
        <v>140.67965627449121</v>
      </c>
    </row>
    <row r="107" spans="6:14" x14ac:dyDescent="0.25">
      <c r="F107" s="21"/>
      <c r="G107" s="21"/>
      <c r="H107" s="21"/>
      <c r="I107" s="21"/>
      <c r="J107" s="21"/>
      <c r="K107" s="21"/>
      <c r="L107" s="21"/>
      <c r="M107" s="21"/>
      <c r="N107" s="21"/>
    </row>
    <row r="108" spans="6:14" ht="15.75" thickBot="1" x14ac:dyDescent="0.3">
      <c r="F108" t="s">
        <v>82</v>
      </c>
    </row>
    <row r="109" spans="6:14" ht="15.75" thickTop="1" x14ac:dyDescent="0.25">
      <c r="F109" s="111" t="s">
        <v>83</v>
      </c>
      <c r="G109" s="111" t="s">
        <v>78</v>
      </c>
      <c r="H109" s="111" t="s">
        <v>84</v>
      </c>
      <c r="I109" s="111" t="s">
        <v>85</v>
      </c>
      <c r="J109" s="111" t="s">
        <v>86</v>
      </c>
      <c r="K109" s="111" t="s">
        <v>87</v>
      </c>
      <c r="L109" s="111" t="s">
        <v>88</v>
      </c>
      <c r="M109" s="111" t="s">
        <v>89</v>
      </c>
      <c r="N109" s="111" t="s">
        <v>90</v>
      </c>
    </row>
    <row r="110" spans="6:14" x14ac:dyDescent="0.25">
      <c r="F110" t="s">
        <v>91</v>
      </c>
      <c r="G110">
        <f>G112-G111</f>
        <v>7620.6647903906232</v>
      </c>
      <c r="H110">
        <f>COUNTA(F104:F106)-1</f>
        <v>2</v>
      </c>
      <c r="I110">
        <f>G110/H110</f>
        <v>3810.3323951953116</v>
      </c>
      <c r="J110">
        <f>I110/I111</f>
        <v>20.500924176271702</v>
      </c>
      <c r="K110">
        <f>_xlfn.F.DIST.RT(J110,H110,H111)</f>
        <v>3.8404412996834485E-6</v>
      </c>
      <c r="L110">
        <f>G110/G112</f>
        <v>0.60295196889320812</v>
      </c>
      <c r="M110">
        <f>SQRT(DEVSQ(I104:I106)/(I111*H110))</f>
        <v>1.4318143795992442</v>
      </c>
      <c r="N110">
        <f>(G112-H112*I111)/(G112+I111)</f>
        <v>0.56522903782628597</v>
      </c>
    </row>
    <row r="111" spans="6:14" x14ac:dyDescent="0.25">
      <c r="F111" t="s">
        <v>92</v>
      </c>
      <c r="G111">
        <f>SUM(K104:K106)</f>
        <v>5018.2603372265621</v>
      </c>
      <c r="H111">
        <f>H112-H110</f>
        <v>27</v>
      </c>
      <c r="I111">
        <f>G111/H111</f>
        <v>185.86149397135415</v>
      </c>
    </row>
    <row r="112" spans="6:14" x14ac:dyDescent="0.25">
      <c r="F112" s="19" t="s">
        <v>93</v>
      </c>
      <c r="G112" s="19">
        <f>DEVSQ(F5:H14)</f>
        <v>12638.925127617185</v>
      </c>
      <c r="H112" s="19">
        <f>COUNT(F5:H14)-1</f>
        <v>29</v>
      </c>
      <c r="I112" s="19">
        <f>G112/H112</f>
        <v>435.8250044005926</v>
      </c>
      <c r="J112" s="19"/>
      <c r="K112" s="19"/>
      <c r="L112" s="19"/>
      <c r="M112" s="19"/>
      <c r="N112" s="19"/>
    </row>
    <row r="115" spans="6:14" x14ac:dyDescent="0.25">
      <c r="F115" t="s">
        <v>70</v>
      </c>
    </row>
    <row r="117" spans="6:14" ht="15.75" thickBot="1" x14ac:dyDescent="0.3">
      <c r="F117" t="s">
        <v>71</v>
      </c>
      <c r="K117" t="s">
        <v>72</v>
      </c>
      <c r="L117">
        <v>0.05</v>
      </c>
    </row>
    <row r="118" spans="6:14" ht="15.75" thickTop="1" x14ac:dyDescent="0.25">
      <c r="F118" s="111" t="s">
        <v>73</v>
      </c>
      <c r="G118" s="111" t="s">
        <v>74</v>
      </c>
      <c r="H118" s="111" t="s">
        <v>75</v>
      </c>
      <c r="I118" s="111" t="s">
        <v>76</v>
      </c>
      <c r="J118" s="111" t="s">
        <v>77</v>
      </c>
      <c r="K118" s="111" t="s">
        <v>78</v>
      </c>
      <c r="L118" s="111" t="s">
        <v>79</v>
      </c>
      <c r="M118" s="111" t="s">
        <v>80</v>
      </c>
      <c r="N118" s="111" t="s">
        <v>81</v>
      </c>
    </row>
    <row r="119" spans="6:14" x14ac:dyDescent="0.25">
      <c r="F119" t="str">
        <f>I4</f>
        <v>EF</v>
      </c>
      <c r="G119">
        <f>COUNT(I5:I14)</f>
        <v>10</v>
      </c>
      <c r="H119">
        <f>SUM(I5:I14)</f>
        <v>1136.3306250000001</v>
      </c>
      <c r="I119">
        <f>AVERAGE(I5:I14)</f>
        <v>113.63306250000001</v>
      </c>
      <c r="J119">
        <f>_xlfn.VAR.S(I5:I14)</f>
        <v>91.086236757812529</v>
      </c>
      <c r="K119">
        <f>DEVSQ(I5:I14)</f>
        <v>819.7761308203128</v>
      </c>
      <c r="L119">
        <f>SQRT(I126/G119)</f>
        <v>4.0341657648104583</v>
      </c>
      <c r="M119">
        <f>I119-L119*_xlfn.T.INV.2T(L117,H126)</f>
        <v>105.35563807522188</v>
      </c>
      <c r="N119">
        <f>I119+L119*_xlfn.T.INV.2T(L117,H126)</f>
        <v>121.91048692477814</v>
      </c>
    </row>
    <row r="120" spans="6:14" x14ac:dyDescent="0.25">
      <c r="F120" t="str">
        <f>J4</f>
        <v>EFR</v>
      </c>
      <c r="G120">
        <f>COUNT(J5:J14)</f>
        <v>10</v>
      </c>
      <c r="H120">
        <f>SUM(J5:J14)</f>
        <v>993.43875000000014</v>
      </c>
      <c r="I120">
        <f>AVERAGE(J5:J14)</f>
        <v>99.343875000000011</v>
      </c>
      <c r="J120">
        <f>_xlfn.VAR.S(J5:J14)</f>
        <v>91.699697031249997</v>
      </c>
      <c r="K120">
        <f>DEVSQ(J5:J14)</f>
        <v>825.29727328125</v>
      </c>
      <c r="L120">
        <f>SQRT(I126/G120)</f>
        <v>4.0341657648104583</v>
      </c>
      <c r="M120">
        <f>I120-L120*_xlfn.T.INV.2T(L117,H126)</f>
        <v>91.066450575221879</v>
      </c>
      <c r="N120">
        <f>I120+L120*_xlfn.T.INV.2T(L117,H126)</f>
        <v>107.62129942477814</v>
      </c>
    </row>
    <row r="121" spans="6:14" x14ac:dyDescent="0.25">
      <c r="F121" t="str">
        <f>K4</f>
        <v>EFRW</v>
      </c>
      <c r="G121">
        <f>COUNT(K5:K14)</f>
        <v>10</v>
      </c>
      <c r="H121">
        <f>SUM(K5:K14)</f>
        <v>1268.25</v>
      </c>
      <c r="I121">
        <f>AVERAGE(K5:K14)</f>
        <v>126.825</v>
      </c>
      <c r="J121">
        <f>_xlfn.VAR.S(K5:K14)</f>
        <v>305.44886874999952</v>
      </c>
      <c r="K121">
        <f>DEVSQ(K5:K14)</f>
        <v>2749.0398187500009</v>
      </c>
      <c r="L121">
        <f>SQRT(I126/G121)</f>
        <v>4.0341657648104583</v>
      </c>
      <c r="M121">
        <f>I121-L121*_xlfn.T.INV.2T(L117,H126)</f>
        <v>118.54757557522187</v>
      </c>
      <c r="N121">
        <f>I121+L121*_xlfn.T.INV.2T(L117,H126)</f>
        <v>135.10242442477812</v>
      </c>
    </row>
    <row r="122" spans="6:14" x14ac:dyDescent="0.25">
      <c r="F122" s="21"/>
      <c r="G122" s="21"/>
      <c r="H122" s="21"/>
      <c r="I122" s="21"/>
      <c r="J122" s="21"/>
      <c r="K122" s="21"/>
      <c r="L122" s="21"/>
      <c r="M122" s="21"/>
      <c r="N122" s="21"/>
    </row>
    <row r="123" spans="6:14" ht="15.75" thickBot="1" x14ac:dyDescent="0.3">
      <c r="F123" t="s">
        <v>82</v>
      </c>
    </row>
    <row r="124" spans="6:14" ht="15.75" thickTop="1" x14ac:dyDescent="0.25">
      <c r="F124" s="111" t="s">
        <v>83</v>
      </c>
      <c r="G124" s="111" t="s">
        <v>78</v>
      </c>
      <c r="H124" s="111" t="s">
        <v>84</v>
      </c>
      <c r="I124" s="111" t="s">
        <v>85</v>
      </c>
      <c r="J124" s="111" t="s">
        <v>86</v>
      </c>
      <c r="K124" s="111" t="s">
        <v>87</v>
      </c>
      <c r="L124" s="111" t="s">
        <v>88</v>
      </c>
      <c r="M124" s="111" t="s">
        <v>89</v>
      </c>
      <c r="N124" s="111" t="s">
        <v>90</v>
      </c>
    </row>
    <row r="125" spans="6:14" x14ac:dyDescent="0.25">
      <c r="F125" t="s">
        <v>91</v>
      </c>
      <c r="G125">
        <f>G127-G126</f>
        <v>3778.0677522656224</v>
      </c>
      <c r="H125">
        <f>COUNTA(F119:F121)-1</f>
        <v>2</v>
      </c>
      <c r="I125">
        <f>G125/H125</f>
        <v>1889.0338761328112</v>
      </c>
      <c r="J125">
        <f>I125/I126</f>
        <v>11.607328275097762</v>
      </c>
      <c r="K125">
        <f>_xlfn.F.DIST.RT(J125,H125,H126)</f>
        <v>2.3024972052288818E-4</v>
      </c>
      <c r="L125">
        <f>G125/G127</f>
        <v>0.46230838056195228</v>
      </c>
      <c r="M125">
        <f>SQRT(DEVSQ(I119:I121)/(I126*H125))</f>
        <v>1.0773731143432976</v>
      </c>
      <c r="N125">
        <f>(G127-H127*I126)/(G127+I126)</f>
        <v>0.41423018290482971</v>
      </c>
    </row>
    <row r="126" spans="6:14" x14ac:dyDescent="0.25">
      <c r="F126" t="s">
        <v>92</v>
      </c>
      <c r="G126">
        <f>SUM(K119:K121)</f>
        <v>4394.1132228515635</v>
      </c>
      <c r="H126">
        <f>H127-H125</f>
        <v>27</v>
      </c>
      <c r="I126">
        <f>G126/H126</f>
        <v>162.74493417968753</v>
      </c>
    </row>
    <row r="127" spans="6:14" x14ac:dyDescent="0.25">
      <c r="F127" s="19" t="s">
        <v>93</v>
      </c>
      <c r="G127" s="19">
        <f>DEVSQ(I5:K14)</f>
        <v>8172.1809751171859</v>
      </c>
      <c r="H127" s="19">
        <f>COUNT(I5:K14)-1</f>
        <v>29</v>
      </c>
      <c r="I127" s="19">
        <f>G127/H127</f>
        <v>281.79934396955815</v>
      </c>
      <c r="J127" s="19"/>
      <c r="K127" s="19"/>
      <c r="L127" s="19"/>
      <c r="M127" s="19"/>
      <c r="N127" s="1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2ACA9-1E61-4083-A72F-3FF5FA2D56A8}">
  <dimension ref="A1:Q62"/>
  <sheetViews>
    <sheetView topLeftCell="A12" zoomScale="85" zoomScaleNormal="85" workbookViewId="0">
      <selection activeCell="B2" sqref="B2:E32"/>
    </sheetView>
  </sheetViews>
  <sheetFormatPr baseColWidth="10" defaultRowHeight="15" x14ac:dyDescent="0.25"/>
  <cols>
    <col min="1" max="2" width="20.28515625" customWidth="1"/>
    <col min="3" max="3" width="13" bestFit="1" customWidth="1"/>
    <col min="5" max="5" width="39.140625" customWidth="1"/>
    <col min="6" max="6" width="19.28515625" customWidth="1"/>
    <col min="7" max="7" width="34.7109375" customWidth="1"/>
  </cols>
  <sheetData>
    <row r="1" spans="1:9" ht="15.75" thickBot="1" x14ac:dyDescent="0.3">
      <c r="A1" s="158" t="s">
        <v>66</v>
      </c>
      <c r="B1" s="158"/>
      <c r="C1" s="159"/>
      <c r="D1" s="159"/>
      <c r="E1" s="159"/>
      <c r="F1" s="160"/>
    </row>
    <row r="2" spans="1:9" ht="15.75" thickBot="1" x14ac:dyDescent="0.3">
      <c r="A2" s="9" t="s">
        <v>0</v>
      </c>
      <c r="B2" s="9"/>
      <c r="C2" s="9" t="s">
        <v>1</v>
      </c>
      <c r="D2" s="9" t="s">
        <v>2</v>
      </c>
      <c r="E2" s="9" t="s">
        <v>27</v>
      </c>
      <c r="F2" s="10" t="s">
        <v>3</v>
      </c>
      <c r="G2" s="11" t="s">
        <v>4</v>
      </c>
    </row>
    <row r="3" spans="1:9" ht="15.75" thickBot="1" x14ac:dyDescent="0.3">
      <c r="A3" s="25"/>
      <c r="B3" s="101" t="s">
        <v>6</v>
      </c>
      <c r="C3" s="40">
        <v>1</v>
      </c>
      <c r="D3" s="41">
        <v>20.61</v>
      </c>
      <c r="E3" s="42">
        <f>(3*(D3*19))/16</f>
        <v>73.423124999999999</v>
      </c>
      <c r="F3" s="8"/>
      <c r="G3" s="2"/>
    </row>
    <row r="4" spans="1:9" ht="15.75" thickBot="1" x14ac:dyDescent="0.3">
      <c r="A4" s="26"/>
      <c r="B4" s="101" t="s">
        <v>6</v>
      </c>
      <c r="C4" s="40">
        <v>2</v>
      </c>
      <c r="D4" s="43">
        <v>26.18</v>
      </c>
      <c r="E4" s="42">
        <f t="shared" ref="E4:E22" si="0">(3*(D4*19))/16</f>
        <v>93.266249999999999</v>
      </c>
      <c r="F4" s="6"/>
      <c r="G4" s="3"/>
    </row>
    <row r="5" spans="1:9" ht="15.75" thickBot="1" x14ac:dyDescent="0.3">
      <c r="A5" s="26" t="s">
        <v>56</v>
      </c>
      <c r="B5" s="101" t="s">
        <v>6</v>
      </c>
      <c r="C5" s="40">
        <v>3</v>
      </c>
      <c r="D5" s="43" t="s">
        <v>10</v>
      </c>
      <c r="E5" s="42">
        <f t="shared" si="0"/>
        <v>108.90562500000001</v>
      </c>
      <c r="F5" s="6"/>
      <c r="G5" s="3"/>
    </row>
    <row r="6" spans="1:9" ht="15.75" thickBot="1" x14ac:dyDescent="0.3">
      <c r="A6" s="26" t="s">
        <v>57</v>
      </c>
      <c r="B6" s="101" t="s">
        <v>6</v>
      </c>
      <c r="C6" s="40">
        <v>4</v>
      </c>
      <c r="D6" s="43" t="s">
        <v>11</v>
      </c>
      <c r="E6" s="42">
        <f t="shared" si="0"/>
        <v>106.51875000000001</v>
      </c>
      <c r="F6" s="6"/>
      <c r="G6" s="3"/>
    </row>
    <row r="7" spans="1:9" ht="15.75" thickBot="1" x14ac:dyDescent="0.3">
      <c r="A7" s="26"/>
      <c r="B7" s="101" t="s">
        <v>6</v>
      </c>
      <c r="C7" s="40">
        <v>5</v>
      </c>
      <c r="D7" s="43" t="s">
        <v>12</v>
      </c>
      <c r="E7" s="42">
        <f t="shared" si="0"/>
        <v>93.337500000000006</v>
      </c>
      <c r="F7" s="6"/>
      <c r="G7" s="3"/>
    </row>
    <row r="8" spans="1:9" ht="15.75" thickBot="1" x14ac:dyDescent="0.3">
      <c r="A8" s="26"/>
      <c r="B8" s="101" t="s">
        <v>6</v>
      </c>
      <c r="C8" s="40">
        <v>6</v>
      </c>
      <c r="D8" s="43" t="s">
        <v>13</v>
      </c>
      <c r="E8" s="42">
        <f t="shared" si="0"/>
        <v>84.965625000000003</v>
      </c>
      <c r="F8" s="6"/>
      <c r="G8" s="3"/>
    </row>
    <row r="9" spans="1:9" ht="21.75" thickBot="1" x14ac:dyDescent="0.4">
      <c r="A9" s="27" t="s">
        <v>6</v>
      </c>
      <c r="B9" s="101" t="s">
        <v>6</v>
      </c>
      <c r="C9" s="40">
        <v>7</v>
      </c>
      <c r="D9" s="43" t="s">
        <v>14</v>
      </c>
      <c r="E9" s="42">
        <f t="shared" si="0"/>
        <v>80.583750000000009</v>
      </c>
      <c r="F9" s="6"/>
      <c r="G9" s="3"/>
      <c r="I9" s="14"/>
    </row>
    <row r="10" spans="1:9" ht="15.75" thickBot="1" x14ac:dyDescent="0.3">
      <c r="A10" s="26"/>
      <c r="B10" s="101" t="s">
        <v>6</v>
      </c>
      <c r="C10" s="40">
        <v>8</v>
      </c>
      <c r="D10" s="43" t="s">
        <v>15</v>
      </c>
      <c r="E10" s="42">
        <f t="shared" si="0"/>
        <v>91.449375000000003</v>
      </c>
      <c r="F10" s="6"/>
      <c r="G10" s="3"/>
    </row>
    <row r="11" spans="1:9" ht="15.75" thickBot="1" x14ac:dyDescent="0.3">
      <c r="A11" s="26"/>
      <c r="B11" s="101" t="s">
        <v>6</v>
      </c>
      <c r="C11" s="40">
        <v>9</v>
      </c>
      <c r="D11" s="43">
        <v>26.21</v>
      </c>
      <c r="E11" s="42">
        <f t="shared" si="0"/>
        <v>93.373125000000002</v>
      </c>
      <c r="F11" s="6"/>
      <c r="G11" s="3"/>
    </row>
    <row r="12" spans="1:9" ht="15.75" thickBot="1" x14ac:dyDescent="0.3">
      <c r="A12" s="28"/>
      <c r="B12" s="101" t="s">
        <v>6</v>
      </c>
      <c r="C12" s="40">
        <v>10</v>
      </c>
      <c r="D12" s="44" t="s">
        <v>16</v>
      </c>
      <c r="E12" s="45">
        <f t="shared" si="0"/>
        <v>106.981875</v>
      </c>
      <c r="F12" s="7"/>
      <c r="G12" s="5"/>
    </row>
    <row r="13" spans="1:9" ht="15.75" thickBot="1" x14ac:dyDescent="0.3">
      <c r="A13" s="29"/>
      <c r="B13" s="29" t="s">
        <v>7</v>
      </c>
      <c r="C13" s="46">
        <v>11</v>
      </c>
      <c r="D13" s="47" t="s">
        <v>18</v>
      </c>
      <c r="E13" s="48">
        <f t="shared" si="0"/>
        <v>134.05687499999999</v>
      </c>
      <c r="F13" s="22"/>
      <c r="G13" s="23"/>
    </row>
    <row r="14" spans="1:9" ht="15.75" thickBot="1" x14ac:dyDescent="0.3">
      <c r="A14" s="29"/>
      <c r="B14" s="29" t="s">
        <v>7</v>
      </c>
      <c r="C14" s="46">
        <v>12</v>
      </c>
      <c r="D14" s="49" t="s">
        <v>17</v>
      </c>
      <c r="E14" s="50">
        <f t="shared" si="0"/>
        <v>132.06187500000001</v>
      </c>
      <c r="F14" s="1"/>
      <c r="G14" s="1"/>
    </row>
    <row r="15" spans="1:9" ht="15.75" thickBot="1" x14ac:dyDescent="0.3">
      <c r="A15" s="29"/>
      <c r="B15" s="29" t="s">
        <v>7</v>
      </c>
      <c r="C15" s="46">
        <v>13</v>
      </c>
      <c r="D15" s="49" t="s">
        <v>20</v>
      </c>
      <c r="E15" s="50">
        <f t="shared" si="0"/>
        <v>120.34125</v>
      </c>
      <c r="F15" s="1"/>
      <c r="G15" s="1"/>
    </row>
    <row r="16" spans="1:9" ht="15.75" thickBot="1" x14ac:dyDescent="0.3">
      <c r="A16" s="30"/>
      <c r="B16" s="29" t="s">
        <v>7</v>
      </c>
      <c r="C16" s="46">
        <v>14</v>
      </c>
      <c r="D16" s="51" t="s">
        <v>19</v>
      </c>
      <c r="E16" s="52">
        <f t="shared" si="0"/>
        <v>118.70250000000001</v>
      </c>
      <c r="F16" s="16"/>
      <c r="G16" s="17"/>
    </row>
    <row r="17" spans="1:9" ht="15.75" thickBot="1" x14ac:dyDescent="0.3">
      <c r="A17" s="30" t="s">
        <v>58</v>
      </c>
      <c r="B17" s="29" t="s">
        <v>7</v>
      </c>
      <c r="C17" s="46">
        <v>15</v>
      </c>
      <c r="D17" s="49" t="s">
        <v>21</v>
      </c>
      <c r="E17" s="53">
        <f t="shared" si="0"/>
        <v>92.625</v>
      </c>
      <c r="F17" s="6"/>
      <c r="G17" s="3"/>
    </row>
    <row r="18" spans="1:9" ht="19.5" thickBot="1" x14ac:dyDescent="0.35">
      <c r="A18" s="30" t="s">
        <v>60</v>
      </c>
      <c r="B18" s="29" t="s">
        <v>7</v>
      </c>
      <c r="C18" s="46">
        <v>16</v>
      </c>
      <c r="D18" s="49" t="s">
        <v>22</v>
      </c>
      <c r="E18" s="53">
        <f t="shared" si="0"/>
        <v>102.17249999999999</v>
      </c>
      <c r="F18" s="6"/>
      <c r="G18" s="3"/>
      <c r="I18" s="14"/>
    </row>
    <row r="19" spans="1:9" ht="21.75" thickBot="1" x14ac:dyDescent="0.4">
      <c r="A19" s="31" t="s">
        <v>7</v>
      </c>
      <c r="B19" s="29" t="s">
        <v>7</v>
      </c>
      <c r="C19" s="46">
        <v>17</v>
      </c>
      <c r="D19" s="49" t="s">
        <v>23</v>
      </c>
      <c r="E19" s="53">
        <f t="shared" si="0"/>
        <v>114.07125000000002</v>
      </c>
      <c r="F19" s="6"/>
      <c r="G19" s="3"/>
    </row>
    <row r="20" spans="1:9" ht="15.75" thickBot="1" x14ac:dyDescent="0.3">
      <c r="A20" s="30"/>
      <c r="B20" s="29" t="s">
        <v>7</v>
      </c>
      <c r="C20" s="46">
        <v>18</v>
      </c>
      <c r="D20" s="49" t="s">
        <v>24</v>
      </c>
      <c r="E20" s="53">
        <f t="shared" si="0"/>
        <v>123.61875000000001</v>
      </c>
      <c r="F20" s="6"/>
      <c r="G20" s="3"/>
    </row>
    <row r="21" spans="1:9" ht="15.75" thickBot="1" x14ac:dyDescent="0.3">
      <c r="A21" s="32"/>
      <c r="B21" s="29" t="s">
        <v>7</v>
      </c>
      <c r="C21" s="46">
        <v>19</v>
      </c>
      <c r="D21" s="49" t="s">
        <v>25</v>
      </c>
      <c r="E21" s="53">
        <f t="shared" si="0"/>
        <v>103.5975</v>
      </c>
      <c r="F21" s="6"/>
      <c r="G21" s="3"/>
    </row>
    <row r="22" spans="1:9" ht="15.75" thickBot="1" x14ac:dyDescent="0.3">
      <c r="A22" s="33"/>
      <c r="B22" s="29" t="s">
        <v>7</v>
      </c>
      <c r="C22" s="46">
        <v>20</v>
      </c>
      <c r="D22" s="54" t="s">
        <v>26</v>
      </c>
      <c r="E22" s="53">
        <f t="shared" si="0"/>
        <v>137.548125</v>
      </c>
      <c r="F22" s="7"/>
      <c r="G22" s="5"/>
    </row>
    <row r="23" spans="1:9" ht="15.75" thickBot="1" x14ac:dyDescent="0.3">
      <c r="A23" s="34"/>
      <c r="B23" s="102" t="s">
        <v>63</v>
      </c>
      <c r="C23" s="55">
        <v>21</v>
      </c>
      <c r="D23" s="56">
        <v>38.57</v>
      </c>
      <c r="E23" s="57">
        <f t="shared" ref="E23:E32" si="1">(3*(D23*19))/16</f>
        <v>137.40562500000001</v>
      </c>
      <c r="F23" s="6"/>
      <c r="G23" s="3"/>
    </row>
    <row r="24" spans="1:9" ht="15.75" thickBot="1" x14ac:dyDescent="0.3">
      <c r="A24" s="35"/>
      <c r="B24" s="102" t="s">
        <v>63</v>
      </c>
      <c r="C24" s="55">
        <v>22</v>
      </c>
      <c r="D24" s="56">
        <v>44.12</v>
      </c>
      <c r="E24" s="57">
        <f t="shared" si="1"/>
        <v>157.17750000000001</v>
      </c>
      <c r="F24" s="6"/>
      <c r="G24" s="3"/>
    </row>
    <row r="25" spans="1:9" ht="15.75" thickBot="1" x14ac:dyDescent="0.3">
      <c r="A25" s="35" t="s">
        <v>65</v>
      </c>
      <c r="B25" s="102" t="s">
        <v>63</v>
      </c>
      <c r="C25" s="55">
        <v>23</v>
      </c>
      <c r="D25" s="56">
        <v>33.06</v>
      </c>
      <c r="E25" s="57">
        <f t="shared" si="1"/>
        <v>117.77625000000002</v>
      </c>
      <c r="F25" s="6"/>
      <c r="G25" s="3"/>
    </row>
    <row r="26" spans="1:9" ht="15.75" thickBot="1" x14ac:dyDescent="0.3">
      <c r="A26" s="35" t="s">
        <v>62</v>
      </c>
      <c r="B26" s="102" t="s">
        <v>63</v>
      </c>
      <c r="C26" s="55">
        <v>24</v>
      </c>
      <c r="D26" s="56">
        <v>39.19</v>
      </c>
      <c r="E26" s="57">
        <f t="shared" si="1"/>
        <v>139.614375</v>
      </c>
      <c r="F26" s="6"/>
      <c r="G26" s="3"/>
    </row>
    <row r="27" spans="1:9" ht="21.75" thickBot="1" x14ac:dyDescent="0.4">
      <c r="A27" s="36" t="s">
        <v>63</v>
      </c>
      <c r="B27" s="102" t="s">
        <v>63</v>
      </c>
      <c r="C27" s="55">
        <v>25</v>
      </c>
      <c r="D27" s="56">
        <v>33.72</v>
      </c>
      <c r="E27" s="57">
        <f t="shared" si="1"/>
        <v>120.1275</v>
      </c>
      <c r="F27" s="6"/>
      <c r="G27" s="3"/>
    </row>
    <row r="28" spans="1:9" ht="15.75" thickBot="1" x14ac:dyDescent="0.3">
      <c r="A28" s="35"/>
      <c r="B28" s="102" t="s">
        <v>63</v>
      </c>
      <c r="C28" s="55">
        <v>26</v>
      </c>
      <c r="D28" s="56">
        <v>36.31</v>
      </c>
      <c r="E28" s="57">
        <f t="shared" si="1"/>
        <v>129.354375</v>
      </c>
      <c r="F28" s="6"/>
      <c r="G28" s="3"/>
    </row>
    <row r="29" spans="1:9" ht="15.75" thickBot="1" x14ac:dyDescent="0.3">
      <c r="A29" s="37"/>
      <c r="B29" s="102" t="s">
        <v>63</v>
      </c>
      <c r="C29" s="55">
        <v>27</v>
      </c>
      <c r="D29" s="56">
        <v>31.73</v>
      </c>
      <c r="E29" s="57">
        <f t="shared" si="1"/>
        <v>113.03812500000001</v>
      </c>
      <c r="F29" s="6"/>
      <c r="G29" s="3"/>
    </row>
    <row r="30" spans="1:9" ht="15.75" thickBot="1" x14ac:dyDescent="0.3">
      <c r="A30" s="38"/>
      <c r="B30" s="102" t="s">
        <v>63</v>
      </c>
      <c r="C30" s="55">
        <v>28</v>
      </c>
      <c r="D30" s="58">
        <v>35.71</v>
      </c>
      <c r="E30" s="59">
        <f t="shared" si="1"/>
        <v>127.216875</v>
      </c>
      <c r="F30" s="12"/>
      <c r="G30" s="18"/>
    </row>
    <row r="31" spans="1:9" ht="15.75" thickBot="1" x14ac:dyDescent="0.3">
      <c r="A31" s="38"/>
      <c r="B31" s="102" t="s">
        <v>63</v>
      </c>
      <c r="C31" s="55">
        <v>29</v>
      </c>
      <c r="D31" s="56">
        <v>35.64</v>
      </c>
      <c r="E31" s="60">
        <f t="shared" si="1"/>
        <v>126.9675</v>
      </c>
      <c r="F31" s="1"/>
      <c r="G31" s="1"/>
    </row>
    <row r="32" spans="1:9" ht="15.75" thickBot="1" x14ac:dyDescent="0.3">
      <c r="A32" s="39"/>
      <c r="B32" s="102" t="s">
        <v>63</v>
      </c>
      <c r="C32" s="55">
        <v>30</v>
      </c>
      <c r="D32" s="61">
        <v>42.01</v>
      </c>
      <c r="E32" s="62">
        <f t="shared" si="1"/>
        <v>149.66062499999998</v>
      </c>
      <c r="F32" s="4"/>
      <c r="G32" s="4"/>
    </row>
    <row r="44" spans="15:15" ht="15" customHeight="1" x14ac:dyDescent="0.25"/>
    <row r="48" spans="15:15" ht="18.75" x14ac:dyDescent="0.3">
      <c r="O48" s="13" t="s">
        <v>31</v>
      </c>
    </row>
    <row r="49" spans="11:17" ht="18.75" x14ac:dyDescent="0.3">
      <c r="O49" s="13" t="s">
        <v>32</v>
      </c>
      <c r="Q49" t="s">
        <v>28</v>
      </c>
    </row>
    <row r="50" spans="11:17" ht="18.75" x14ac:dyDescent="0.3">
      <c r="O50" s="13" t="s">
        <v>33</v>
      </c>
      <c r="Q50" t="s">
        <v>29</v>
      </c>
    </row>
    <row r="51" spans="11:17" ht="18.75" x14ac:dyDescent="0.3">
      <c r="O51" s="13" t="s">
        <v>34</v>
      </c>
      <c r="Q51" t="s">
        <v>30</v>
      </c>
    </row>
    <row r="53" spans="11:17" ht="29.25" x14ac:dyDescent="0.4">
      <c r="K53" s="15" t="s">
        <v>5</v>
      </c>
    </row>
    <row r="61" spans="11:17" x14ac:dyDescent="0.25">
      <c r="L61" s="161" t="s">
        <v>35</v>
      </c>
      <c r="M61" s="161"/>
      <c r="N61" s="161"/>
      <c r="O61" s="161"/>
      <c r="P61" s="161"/>
    </row>
    <row r="62" spans="11:17" x14ac:dyDescent="0.25">
      <c r="L62" s="161"/>
      <c r="M62" s="161"/>
      <c r="N62" s="161"/>
      <c r="O62" s="161"/>
      <c r="P62" s="161"/>
    </row>
  </sheetData>
  <mergeCells count="2">
    <mergeCell ref="A1:F1"/>
    <mergeCell ref="L61:P62"/>
  </mergeCells>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6BC82-222B-4D8F-86B6-442F967F2ED5}">
  <dimension ref="A2:G34"/>
  <sheetViews>
    <sheetView topLeftCell="A13" workbookViewId="0">
      <selection activeCell="B5" sqref="B5:E34"/>
    </sheetView>
  </sheetViews>
  <sheetFormatPr baseColWidth="10" defaultRowHeight="15" x14ac:dyDescent="0.25"/>
  <cols>
    <col min="1" max="1" width="14.85546875" bestFit="1" customWidth="1"/>
    <col min="2" max="2" width="14.85546875" customWidth="1"/>
    <col min="3" max="3" width="9.7109375" bestFit="1" customWidth="1"/>
    <col min="4" max="4" width="7.7109375" bestFit="1" customWidth="1"/>
    <col min="5" max="5" width="26" bestFit="1" customWidth="1"/>
    <col min="6" max="6" width="17.5703125" bestFit="1" customWidth="1"/>
    <col min="7" max="7" width="13.7109375" bestFit="1" customWidth="1"/>
  </cols>
  <sheetData>
    <row r="2" spans="1:7" ht="15.75" thickBot="1" x14ac:dyDescent="0.3"/>
    <row r="3" spans="1:7" ht="15.75" thickBot="1" x14ac:dyDescent="0.3">
      <c r="A3" s="158" t="s">
        <v>67</v>
      </c>
      <c r="B3" s="158"/>
      <c r="C3" s="159"/>
      <c r="D3" s="159"/>
      <c r="E3" s="159"/>
      <c r="F3" s="160"/>
    </row>
    <row r="4" spans="1:7" ht="15.75" thickBot="1" x14ac:dyDescent="0.3">
      <c r="A4" s="24" t="s">
        <v>0</v>
      </c>
      <c r="B4" s="99"/>
      <c r="C4" s="9" t="s">
        <v>1</v>
      </c>
      <c r="D4" s="9" t="s">
        <v>2</v>
      </c>
      <c r="E4" s="9" t="s">
        <v>27</v>
      </c>
      <c r="F4" s="10" t="s">
        <v>3</v>
      </c>
      <c r="G4" s="11" t="s">
        <v>4</v>
      </c>
    </row>
    <row r="5" spans="1:7" ht="15.75" thickBot="1" x14ac:dyDescent="0.3">
      <c r="A5" s="63"/>
      <c r="B5" s="67" t="s">
        <v>8</v>
      </c>
      <c r="C5" s="64">
        <v>31</v>
      </c>
      <c r="D5" s="65" t="s">
        <v>46</v>
      </c>
      <c r="E5" s="66">
        <f t="shared" ref="E5:E34" si="0">(3*(D5*19))/16</f>
        <v>107.623125</v>
      </c>
      <c r="F5" s="8"/>
      <c r="G5" s="2"/>
    </row>
    <row r="6" spans="1:7" ht="15.75" thickBot="1" x14ac:dyDescent="0.3">
      <c r="A6" s="67"/>
      <c r="B6" s="67" t="s">
        <v>8</v>
      </c>
      <c r="C6" s="64">
        <v>32</v>
      </c>
      <c r="D6" s="68" t="s">
        <v>47</v>
      </c>
      <c r="E6" s="66">
        <f t="shared" si="0"/>
        <v>111.470625</v>
      </c>
      <c r="F6" s="6"/>
      <c r="G6" s="3"/>
    </row>
    <row r="7" spans="1:7" ht="15.75" thickBot="1" x14ac:dyDescent="0.3">
      <c r="A7" s="63"/>
      <c r="B7" s="67" t="s">
        <v>8</v>
      </c>
      <c r="C7" s="64">
        <v>33</v>
      </c>
      <c r="D7" s="68" t="s">
        <v>48</v>
      </c>
      <c r="E7" s="66">
        <f t="shared" si="0"/>
        <v>99.429374999999993</v>
      </c>
      <c r="F7" s="6"/>
      <c r="G7" s="3"/>
    </row>
    <row r="8" spans="1:7" ht="15.75" thickBot="1" x14ac:dyDescent="0.3">
      <c r="A8" s="63"/>
      <c r="B8" s="67" t="s">
        <v>8</v>
      </c>
      <c r="C8" s="64">
        <v>34</v>
      </c>
      <c r="D8" s="68" t="s">
        <v>49</v>
      </c>
      <c r="E8" s="66">
        <f t="shared" si="0"/>
        <v>106.16250000000001</v>
      </c>
      <c r="F8" s="6"/>
      <c r="G8" s="3"/>
    </row>
    <row r="9" spans="1:7" ht="15.75" thickBot="1" x14ac:dyDescent="0.3">
      <c r="A9" s="63" t="s">
        <v>61</v>
      </c>
      <c r="B9" s="67" t="s">
        <v>8</v>
      </c>
      <c r="C9" s="64">
        <v>35</v>
      </c>
      <c r="D9" s="68" t="s">
        <v>50</v>
      </c>
      <c r="E9" s="66">
        <f t="shared" si="0"/>
        <v>103.74</v>
      </c>
      <c r="F9" s="6"/>
      <c r="G9" s="3"/>
    </row>
    <row r="10" spans="1:7" ht="15.75" thickBot="1" x14ac:dyDescent="0.3">
      <c r="A10" s="63" t="s">
        <v>57</v>
      </c>
      <c r="B10" s="67" t="s">
        <v>8</v>
      </c>
      <c r="C10" s="64">
        <v>36</v>
      </c>
      <c r="D10" s="68" t="s">
        <v>51</v>
      </c>
      <c r="E10" s="66">
        <f t="shared" si="0"/>
        <v>117.669375</v>
      </c>
      <c r="F10" s="6"/>
      <c r="G10" s="3"/>
    </row>
    <row r="11" spans="1:7" ht="21.75" thickBot="1" x14ac:dyDescent="0.4">
      <c r="A11" s="69" t="s">
        <v>8</v>
      </c>
      <c r="B11" s="67" t="s">
        <v>8</v>
      </c>
      <c r="C11" s="64">
        <v>37</v>
      </c>
      <c r="D11" s="68" t="s">
        <v>52</v>
      </c>
      <c r="E11" s="66">
        <f t="shared" si="0"/>
        <v>125.79187500000002</v>
      </c>
      <c r="F11" s="6"/>
      <c r="G11" s="3"/>
    </row>
    <row r="12" spans="1:7" ht="15.75" thickBot="1" x14ac:dyDescent="0.3">
      <c r="A12" s="67"/>
      <c r="B12" s="67" t="s">
        <v>8</v>
      </c>
      <c r="C12" s="64">
        <v>38</v>
      </c>
      <c r="D12" s="68" t="s">
        <v>53</v>
      </c>
      <c r="E12" s="66">
        <f t="shared" si="0"/>
        <v>115.888125</v>
      </c>
      <c r="F12" s="6"/>
      <c r="G12" s="3"/>
    </row>
    <row r="13" spans="1:7" ht="15.75" thickBot="1" x14ac:dyDescent="0.3">
      <c r="A13" s="67"/>
      <c r="B13" s="67" t="s">
        <v>8</v>
      </c>
      <c r="C13" s="64">
        <v>39</v>
      </c>
      <c r="D13" s="68" t="s">
        <v>54</v>
      </c>
      <c r="E13" s="66">
        <f t="shared" si="0"/>
        <v>128.00062499999999</v>
      </c>
      <c r="F13" s="6"/>
      <c r="G13" s="3"/>
    </row>
    <row r="14" spans="1:7" ht="15.75" thickBot="1" x14ac:dyDescent="0.3">
      <c r="A14" s="70"/>
      <c r="B14" s="67" t="s">
        <v>8</v>
      </c>
      <c r="C14" s="64">
        <v>40</v>
      </c>
      <c r="D14" s="71" t="s">
        <v>55</v>
      </c>
      <c r="E14" s="66">
        <f t="shared" si="0"/>
        <v>120.55500000000001</v>
      </c>
      <c r="F14" s="7"/>
      <c r="G14" s="5"/>
    </row>
    <row r="15" spans="1:7" ht="15.75" thickBot="1" x14ac:dyDescent="0.3">
      <c r="A15" s="72"/>
      <c r="B15" s="72" t="s">
        <v>9</v>
      </c>
      <c r="C15" s="73">
        <v>41</v>
      </c>
      <c r="D15" s="74" t="s">
        <v>36</v>
      </c>
      <c r="E15" s="75">
        <f t="shared" si="0"/>
        <v>105.699375</v>
      </c>
      <c r="F15" s="8"/>
      <c r="G15" s="2"/>
    </row>
    <row r="16" spans="1:7" ht="15.75" thickBot="1" x14ac:dyDescent="0.3">
      <c r="A16" s="72"/>
      <c r="B16" s="72" t="s">
        <v>9</v>
      </c>
      <c r="C16" s="73">
        <v>42</v>
      </c>
      <c r="D16" s="76" t="s">
        <v>37</v>
      </c>
      <c r="E16" s="75">
        <f t="shared" si="0"/>
        <v>97.398750000000007</v>
      </c>
      <c r="F16" s="6"/>
      <c r="G16" s="3"/>
    </row>
    <row r="17" spans="1:7" ht="15.75" thickBot="1" x14ac:dyDescent="0.3">
      <c r="A17" s="77"/>
      <c r="B17" s="72" t="s">
        <v>9</v>
      </c>
      <c r="C17" s="73">
        <v>43</v>
      </c>
      <c r="D17" s="76" t="s">
        <v>38</v>
      </c>
      <c r="E17" s="75">
        <f t="shared" si="0"/>
        <v>101.424375</v>
      </c>
      <c r="F17" s="6"/>
      <c r="G17" s="3"/>
    </row>
    <row r="18" spans="1:7" ht="15.75" thickBot="1" x14ac:dyDescent="0.3">
      <c r="A18" s="77" t="s">
        <v>59</v>
      </c>
      <c r="B18" s="72" t="s">
        <v>9</v>
      </c>
      <c r="C18" s="73">
        <v>44</v>
      </c>
      <c r="D18" s="76" t="s">
        <v>39</v>
      </c>
      <c r="E18" s="75">
        <f t="shared" si="0"/>
        <v>87.495000000000005</v>
      </c>
      <c r="F18" s="6"/>
      <c r="G18" s="3"/>
    </row>
    <row r="19" spans="1:7" ht="15.75" thickBot="1" x14ac:dyDescent="0.3">
      <c r="A19" s="77" t="s">
        <v>62</v>
      </c>
      <c r="B19" s="72" t="s">
        <v>9</v>
      </c>
      <c r="C19" s="73">
        <v>45</v>
      </c>
      <c r="D19" s="76" t="s">
        <v>40</v>
      </c>
      <c r="E19" s="75">
        <f t="shared" si="0"/>
        <v>97.541250000000005</v>
      </c>
      <c r="F19" s="6"/>
      <c r="G19" s="3"/>
    </row>
    <row r="20" spans="1:7" ht="21.75" thickBot="1" x14ac:dyDescent="0.4">
      <c r="A20" s="78" t="s">
        <v>9</v>
      </c>
      <c r="B20" s="72" t="s">
        <v>9</v>
      </c>
      <c r="C20" s="73">
        <v>46</v>
      </c>
      <c r="D20" s="76" t="s">
        <v>41</v>
      </c>
      <c r="E20" s="75">
        <f t="shared" si="0"/>
        <v>104.345625</v>
      </c>
      <c r="F20" s="6"/>
      <c r="G20" s="3"/>
    </row>
    <row r="21" spans="1:7" ht="15.75" thickBot="1" x14ac:dyDescent="0.3">
      <c r="A21" s="77"/>
      <c r="B21" s="72" t="s">
        <v>9</v>
      </c>
      <c r="C21" s="73">
        <v>47</v>
      </c>
      <c r="D21" s="76" t="s">
        <v>42</v>
      </c>
      <c r="E21" s="75">
        <f t="shared" si="0"/>
        <v>115.92375</v>
      </c>
      <c r="F21" s="6"/>
      <c r="G21" s="3"/>
    </row>
    <row r="22" spans="1:7" ht="15.75" thickBot="1" x14ac:dyDescent="0.3">
      <c r="A22" s="77"/>
      <c r="B22" s="72" t="s">
        <v>9</v>
      </c>
      <c r="C22" s="73">
        <v>48</v>
      </c>
      <c r="D22" s="76" t="s">
        <v>43</v>
      </c>
      <c r="E22" s="75">
        <f t="shared" si="0"/>
        <v>107.80125000000001</v>
      </c>
      <c r="F22" s="6"/>
      <c r="G22" s="3"/>
    </row>
    <row r="23" spans="1:7" ht="15.75" thickBot="1" x14ac:dyDescent="0.3">
      <c r="A23" s="77"/>
      <c r="B23" s="72" t="s">
        <v>9</v>
      </c>
      <c r="C23" s="73">
        <v>49</v>
      </c>
      <c r="D23" s="79" t="s">
        <v>44</v>
      </c>
      <c r="E23" s="75">
        <f t="shared" si="0"/>
        <v>87.886875000000003</v>
      </c>
      <c r="F23" s="12"/>
      <c r="G23" s="3"/>
    </row>
    <row r="24" spans="1:7" ht="15.75" thickBot="1" x14ac:dyDescent="0.3">
      <c r="A24" s="77"/>
      <c r="B24" s="72" t="s">
        <v>9</v>
      </c>
      <c r="C24" s="73">
        <v>50</v>
      </c>
      <c r="D24" s="80" t="s">
        <v>45</v>
      </c>
      <c r="E24" s="75">
        <f t="shared" si="0"/>
        <v>87.922499999999999</v>
      </c>
      <c r="F24" s="4"/>
      <c r="G24" s="5"/>
    </row>
    <row r="25" spans="1:7" x14ac:dyDescent="0.25">
      <c r="A25" s="81"/>
      <c r="B25" s="100" t="s">
        <v>64</v>
      </c>
      <c r="C25" s="82">
        <v>51</v>
      </c>
      <c r="D25" s="83">
        <v>24.97</v>
      </c>
      <c r="E25" s="84">
        <f t="shared" si="0"/>
        <v>88.955624999999998</v>
      </c>
      <c r="F25" s="19"/>
      <c r="G25" s="17"/>
    </row>
    <row r="26" spans="1:7" x14ac:dyDescent="0.25">
      <c r="A26" s="85" t="s">
        <v>68</v>
      </c>
      <c r="B26" s="100" t="s">
        <v>64</v>
      </c>
      <c r="C26" s="82">
        <v>52</v>
      </c>
      <c r="D26" s="86">
        <v>37.409999999999997</v>
      </c>
      <c r="E26" s="87">
        <f t="shared" si="0"/>
        <v>133.27312499999999</v>
      </c>
      <c r="F26" s="20"/>
      <c r="G26" s="3"/>
    </row>
    <row r="27" spans="1:7" x14ac:dyDescent="0.25">
      <c r="A27" s="85" t="s">
        <v>62</v>
      </c>
      <c r="B27" s="100" t="s">
        <v>64</v>
      </c>
      <c r="C27" s="82">
        <v>53</v>
      </c>
      <c r="D27" s="86">
        <v>43.47</v>
      </c>
      <c r="E27" s="87">
        <f t="shared" si="0"/>
        <v>154.861875</v>
      </c>
      <c r="F27" s="20"/>
      <c r="G27" s="3"/>
    </row>
    <row r="28" spans="1:7" ht="21" x14ac:dyDescent="0.35">
      <c r="A28" s="88" t="s">
        <v>64</v>
      </c>
      <c r="B28" s="100" t="s">
        <v>64</v>
      </c>
      <c r="C28" s="82">
        <v>54</v>
      </c>
      <c r="D28" s="86">
        <v>33.43</v>
      </c>
      <c r="E28" s="87">
        <f t="shared" si="0"/>
        <v>119.09437499999999</v>
      </c>
      <c r="F28" s="20"/>
      <c r="G28" s="3"/>
    </row>
    <row r="29" spans="1:7" x14ac:dyDescent="0.25">
      <c r="A29" s="85"/>
      <c r="B29" s="100" t="s">
        <v>64</v>
      </c>
      <c r="C29" s="82">
        <v>55</v>
      </c>
      <c r="D29" s="86">
        <v>38.130000000000003</v>
      </c>
      <c r="E29" s="87">
        <f t="shared" si="0"/>
        <v>135.83812499999999</v>
      </c>
      <c r="F29" s="20"/>
      <c r="G29" s="3"/>
    </row>
    <row r="30" spans="1:7" x14ac:dyDescent="0.25">
      <c r="A30" s="85"/>
      <c r="B30" s="100" t="s">
        <v>64</v>
      </c>
      <c r="C30" s="82">
        <v>56</v>
      </c>
      <c r="D30" s="86">
        <v>33.369999999999997</v>
      </c>
      <c r="E30" s="87">
        <f t="shared" si="0"/>
        <v>118.88062499999999</v>
      </c>
      <c r="F30" s="20"/>
      <c r="G30" s="3"/>
    </row>
    <row r="31" spans="1:7" x14ac:dyDescent="0.25">
      <c r="A31" s="85"/>
      <c r="B31" s="100" t="s">
        <v>64</v>
      </c>
      <c r="C31" s="82">
        <v>57</v>
      </c>
      <c r="D31" s="89">
        <v>36.97</v>
      </c>
      <c r="E31" s="90">
        <f t="shared" si="0"/>
        <v>131.705625</v>
      </c>
      <c r="F31" s="21"/>
      <c r="G31" s="18"/>
    </row>
    <row r="32" spans="1:7" x14ac:dyDescent="0.25">
      <c r="A32" s="91"/>
      <c r="B32" s="100" t="s">
        <v>64</v>
      </c>
      <c r="C32" s="82">
        <v>58</v>
      </c>
      <c r="D32" s="92">
        <v>33.36</v>
      </c>
      <c r="E32" s="87">
        <f t="shared" si="0"/>
        <v>118.845</v>
      </c>
      <c r="F32" s="1"/>
      <c r="G32" s="1"/>
    </row>
    <row r="33" spans="1:7" x14ac:dyDescent="0.25">
      <c r="A33" s="93"/>
      <c r="B33" s="100" t="s">
        <v>64</v>
      </c>
      <c r="C33" s="82">
        <v>59</v>
      </c>
      <c r="D33" s="94">
        <v>39.520000000000003</v>
      </c>
      <c r="E33" s="82">
        <f t="shared" si="0"/>
        <v>140.79000000000002</v>
      </c>
      <c r="F33" s="1"/>
      <c r="G33" s="1"/>
    </row>
    <row r="34" spans="1:7" ht="15.75" thickBot="1" x14ac:dyDescent="0.3">
      <c r="A34" s="95"/>
      <c r="B34" s="100" t="s">
        <v>64</v>
      </c>
      <c r="C34" s="82">
        <v>60</v>
      </c>
      <c r="D34" s="96">
        <v>35.369999999999997</v>
      </c>
      <c r="E34" s="97">
        <f t="shared" si="0"/>
        <v>126.00562499999999</v>
      </c>
      <c r="F34" s="4"/>
      <c r="G34" s="4"/>
    </row>
  </sheetData>
  <mergeCells count="1">
    <mergeCell ref="A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resultados</vt:lpstr>
      <vt:lpstr>objetivos</vt:lpstr>
      <vt:lpstr>Hoja1</vt:lpstr>
      <vt:lpstr>Grupo 1</vt:lpstr>
      <vt:lpstr>Grupo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Juliana Vimos</cp:lastModifiedBy>
  <dcterms:created xsi:type="dcterms:W3CDTF">2023-11-13T16:08:29Z</dcterms:created>
  <dcterms:modified xsi:type="dcterms:W3CDTF">2024-11-27T01:14:45Z</dcterms:modified>
</cp:coreProperties>
</file>