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2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https://unicoceduco-my.sharepoint.com/personal/direccionbiblioteca_unicoc_edu_co/Documents/SIBU/Administración/Gestion Repositorio/Poblamiento de RI-Unicoc/Inventario Trabajos de grado/BOGOTÁ/CACE/Negocios/TNE 002/"/>
    </mc:Choice>
  </mc:AlternateContent>
  <xr:revisionPtr revIDLastSave="0" documentId="8_{412AAEA1-DC27-4C04-8BBC-B2D9C9EA0290}" xr6:coauthVersionLast="47" xr6:coauthVersionMax="47" xr10:uidLastSave="{00000000-0000-0000-0000-000000000000}"/>
  <bookViews>
    <workbookView xWindow="-120" yWindow="-120" windowWidth="20730" windowHeight="11160" tabRatio="860" xr2:uid="{00000000-000D-0000-FFFF-FFFF00000000}"/>
  </bookViews>
  <sheets>
    <sheet name="P.I" sheetId="5" r:id="rId1"/>
    <sheet name="F. F" sheetId="6" r:id="rId2"/>
    <sheet name="TABLA AMORTIZACION" sheetId="14" r:id="rId3"/>
    <sheet name="NOMINA" sheetId="2" r:id="rId4"/>
    <sheet name="D" sheetId="8" r:id="rId5"/>
    <sheet name="CF-GA" sheetId="9" r:id="rId6"/>
    <sheet name="P E" sheetId="13" r:id="rId7"/>
    <sheet name="BALANCES" sheetId="10" r:id="rId8"/>
    <sheet name="FLUJO DE CAJA" sheetId="19" r:id="rId9"/>
    <sheet name="E Go P" sheetId="11" r:id="rId10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20" i="11" l="1"/>
  <c r="C22" i="11"/>
  <c r="C21" i="11"/>
  <c r="C14" i="11"/>
  <c r="C13" i="11"/>
  <c r="C7" i="11"/>
  <c r="D11" i="11" s="1"/>
  <c r="G15" i="19"/>
  <c r="F15" i="19"/>
  <c r="C15" i="19"/>
  <c r="C29" i="11" s="1"/>
  <c r="H71" i="14"/>
  <c r="H59" i="14"/>
  <c r="H47" i="14"/>
  <c r="E15" i="19" s="1"/>
  <c r="H35" i="14"/>
  <c r="D15" i="19" s="1"/>
  <c r="H23" i="14"/>
  <c r="L7" i="19"/>
  <c r="G8" i="19" s="1"/>
  <c r="L6" i="19"/>
  <c r="F8" i="19" s="1"/>
  <c r="L5" i="19"/>
  <c r="E8" i="19" s="1"/>
  <c r="L4" i="19"/>
  <c r="D8" i="19" s="1"/>
  <c r="L3" i="19"/>
  <c r="C8" i="19" s="1"/>
  <c r="D32" i="11" s="1"/>
  <c r="F6" i="19"/>
  <c r="G71" i="14"/>
  <c r="G6" i="19" s="1"/>
  <c r="G59" i="14"/>
  <c r="G47" i="14"/>
  <c r="E6" i="19" s="1"/>
  <c r="G35" i="14"/>
  <c r="D6" i="19" s="1"/>
  <c r="G23" i="14"/>
  <c r="C6" i="19" s="1"/>
  <c r="C28" i="11" s="1"/>
  <c r="D4" i="19"/>
  <c r="C4" i="19"/>
  <c r="F3" i="19"/>
  <c r="E3" i="19"/>
  <c r="D3" i="19"/>
  <c r="C3" i="19"/>
  <c r="J20" i="19"/>
  <c r="J21" i="19" s="1"/>
  <c r="G4" i="19" s="1"/>
  <c r="J19" i="19"/>
  <c r="E4" i="19" s="1"/>
  <c r="J14" i="19"/>
  <c r="G3" i="19" s="1"/>
  <c r="G2" i="19"/>
  <c r="F2" i="19"/>
  <c r="E2" i="19"/>
  <c r="D2" i="19"/>
  <c r="C2" i="19"/>
  <c r="H73" i="14" l="1"/>
  <c r="D15" i="11"/>
  <c r="D16" i="11"/>
  <c r="F4" i="19"/>
  <c r="H10" i="2"/>
  <c r="F10" i="2"/>
  <c r="G10" i="2" s="1"/>
  <c r="J10" i="2" s="1"/>
  <c r="O36" i="2"/>
  <c r="O37" i="2" s="1"/>
  <c r="O38" i="2" s="1"/>
  <c r="E36" i="2"/>
  <c r="D72" i="14"/>
  <c r="E59" i="10" s="1"/>
  <c r="E65" i="10" s="1"/>
  <c r="E62" i="10"/>
  <c r="E49" i="10"/>
  <c r="E48" i="10"/>
  <c r="E32" i="10"/>
  <c r="E28" i="10"/>
  <c r="E33" i="10" s="1"/>
  <c r="E37" i="2" l="1"/>
  <c r="K10" i="2"/>
  <c r="L10" i="2"/>
  <c r="G37" i="2" l="1"/>
  <c r="J37" i="2" s="1"/>
  <c r="E38" i="2"/>
  <c r="G38" i="2" s="1"/>
  <c r="J38" i="2" s="1"/>
  <c r="E43" i="2"/>
  <c r="C6" i="9" s="1"/>
  <c r="N10" i="2"/>
  <c r="O10" i="2" s="1"/>
  <c r="K38" i="2" l="1"/>
  <c r="L38" i="2"/>
  <c r="L37" i="2"/>
  <c r="K37" i="2"/>
  <c r="N37" i="2" s="1"/>
  <c r="C15" i="6"/>
  <c r="E38" i="5"/>
  <c r="E30" i="5"/>
  <c r="E29" i="5"/>
  <c r="E17" i="5"/>
  <c r="E15" i="5"/>
  <c r="E11" i="5"/>
  <c r="E10" i="5"/>
  <c r="B7" i="19"/>
  <c r="B8" i="19" s="1"/>
  <c r="B10" i="19"/>
  <c r="N38" i="2" l="1"/>
  <c r="B9" i="19"/>
  <c r="B16" i="19" s="1"/>
  <c r="H9" i="2" l="1"/>
  <c r="E21" i="5"/>
  <c r="E26" i="5"/>
  <c r="F31" i="5" s="1"/>
  <c r="E20" i="10" s="1"/>
  <c r="E54" i="10" s="1"/>
  <c r="E28" i="5"/>
  <c r="E27" i="5"/>
  <c r="G35" i="2"/>
  <c r="J35" i="2" s="1"/>
  <c r="G36" i="2"/>
  <c r="J36" i="2" s="1"/>
  <c r="H43" i="2"/>
  <c r="G9" i="2"/>
  <c r="J9" i="2" s="1"/>
  <c r="E17" i="2"/>
  <c r="E7" i="9" s="1"/>
  <c r="C19" i="11" s="1"/>
  <c r="I43" i="2"/>
  <c r="M17" i="2"/>
  <c r="I17" i="2"/>
  <c r="H17" i="2"/>
  <c r="E7" i="5"/>
  <c r="E22" i="5"/>
  <c r="E16" i="5"/>
  <c r="E18" i="5"/>
  <c r="E8" i="5"/>
  <c r="E12" i="5"/>
  <c r="E9" i="5"/>
  <c r="F13" i="5" l="1"/>
  <c r="F19" i="5"/>
  <c r="D7" i="8" s="1"/>
  <c r="E7" i="8" s="1"/>
  <c r="F23" i="5"/>
  <c r="G43" i="2"/>
  <c r="G17" i="2"/>
  <c r="E21" i="2"/>
  <c r="E23" i="2"/>
  <c r="E25" i="2"/>
  <c r="E20" i="2"/>
  <c r="E22" i="2"/>
  <c r="E24" i="2"/>
  <c r="I24" i="2"/>
  <c r="I21" i="2"/>
  <c r="I23" i="2"/>
  <c r="L9" i="2"/>
  <c r="L17" i="2" s="1"/>
  <c r="J17" i="2"/>
  <c r="K9" i="2"/>
  <c r="J43" i="2"/>
  <c r="L35" i="2"/>
  <c r="K35" i="2"/>
  <c r="K36" i="2"/>
  <c r="L36" i="2"/>
  <c r="D33" i="5"/>
  <c r="F36" i="5" s="1"/>
  <c r="F41" i="5" s="1"/>
  <c r="E19" i="10" l="1"/>
  <c r="E53" i="10" s="1"/>
  <c r="D8" i="8"/>
  <c r="E8" i="8" s="1"/>
  <c r="N36" i="2"/>
  <c r="D6" i="8"/>
  <c r="E17" i="10"/>
  <c r="K43" i="2"/>
  <c r="N35" i="2"/>
  <c r="E47" i="2"/>
  <c r="E49" i="2"/>
  <c r="E51" i="2"/>
  <c r="I47" i="2"/>
  <c r="I49" i="2"/>
  <c r="E46" i="2"/>
  <c r="E48" i="2"/>
  <c r="E50" i="2"/>
  <c r="I22" i="2"/>
  <c r="I25" i="2" s="1"/>
  <c r="E9" i="9" s="1"/>
  <c r="E26" i="2"/>
  <c r="E8" i="9" s="1"/>
  <c r="L43" i="2"/>
  <c r="N9" i="2"/>
  <c r="K17" i="2"/>
  <c r="E6" i="8" l="1"/>
  <c r="E14" i="8" s="1"/>
  <c r="D14" i="8"/>
  <c r="E22" i="10"/>
  <c r="E51" i="10"/>
  <c r="E56" i="10" s="1"/>
  <c r="E69" i="10" s="1"/>
  <c r="E70" i="10" s="1"/>
  <c r="E52" i="2"/>
  <c r="C7" i="9" s="1"/>
  <c r="N17" i="2"/>
  <c r="O9" i="2"/>
  <c r="O17" i="2" s="1"/>
  <c r="E16" i="9"/>
  <c r="I48" i="2"/>
  <c r="N43" i="2"/>
  <c r="I50" i="2" s="1"/>
  <c r="O43" i="2"/>
  <c r="D7" i="13"/>
  <c r="C5" i="19" l="1"/>
  <c r="C24" i="11"/>
  <c r="I51" i="2"/>
  <c r="C8" i="9" s="1"/>
  <c r="C16" i="9" s="1"/>
  <c r="C26" i="11" l="1"/>
  <c r="E18" i="9"/>
  <c r="D6" i="13" s="1"/>
  <c r="E9" i="13" s="1"/>
  <c r="E10" i="13" s="1"/>
  <c r="E13" i="13" s="1"/>
  <c r="D30" i="11"/>
  <c r="D31" i="11" s="1"/>
  <c r="D33" i="11" s="1"/>
  <c r="D5" i="19"/>
  <c r="C7" i="19"/>
  <c r="C9" i="19" s="1"/>
  <c r="C10" i="19"/>
  <c r="E5" i="19" l="1"/>
  <c r="D10" i="19"/>
  <c r="D7" i="19"/>
  <c r="D9" i="19" s="1"/>
  <c r="D16" i="19" s="1"/>
  <c r="D18" i="19" s="1"/>
  <c r="E11" i="13"/>
  <c r="E12" i="13"/>
  <c r="C16" i="19"/>
  <c r="C18" i="19" l="1"/>
  <c r="C24" i="19" s="1"/>
  <c r="D24" i="19" s="1"/>
  <c r="F5" i="19"/>
  <c r="E10" i="19"/>
  <c r="E7" i="19"/>
  <c r="E9" i="19" s="1"/>
  <c r="G5" i="19" l="1"/>
  <c r="F10" i="19"/>
  <c r="F7" i="19"/>
  <c r="F9" i="19" s="1"/>
  <c r="F16" i="19" s="1"/>
  <c r="E16" i="19"/>
  <c r="E18" i="19" l="1"/>
  <c r="E24" i="19" s="1"/>
  <c r="B22" i="19"/>
  <c r="B19" i="19"/>
  <c r="F18" i="19"/>
  <c r="B20" i="19" s="1"/>
  <c r="G10" i="19"/>
  <c r="G7" i="19"/>
  <c r="G9" i="19" s="1"/>
  <c r="G16" i="19" s="1"/>
  <c r="G18" i="19" s="1"/>
  <c r="B23" i="19" l="1"/>
  <c r="B21" i="19"/>
  <c r="F24" i="19"/>
  <c r="G24" i="19" s="1"/>
  <c r="H24" i="19" s="1"/>
  <c r="I24" i="19" s="1"/>
  <c r="J24" i="19" s="1"/>
  <c r="K24" i="19" s="1"/>
  <c r="L24" i="19" s="1"/>
  <c r="M24" i="19" s="1"/>
  <c r="N24" i="1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jose luis diaz ceballos</author>
    <author>Zoraya Zubieta</author>
  </authors>
  <commentList>
    <comment ref="C7" authorId="0" shapeId="0" xr:uid="{00000000-0006-0000-0100-000001000000}">
      <text>
        <r>
          <rPr>
            <b/>
            <sz val="9"/>
            <color indexed="81"/>
            <rFont val="Calibri"/>
            <family val="2"/>
          </rPr>
          <t>GENERALMENTE ES MENSUAL</t>
        </r>
      </text>
    </comment>
    <comment ref="D7" authorId="1" shapeId="0" xr:uid="{00000000-0006-0000-0100-000002000000}">
      <text>
        <r>
          <rPr>
            <sz val="9"/>
            <color indexed="81"/>
            <rFont val="Calibri"/>
            <family val="2"/>
          </rPr>
          <t xml:space="preserve">puede ser a 12, 24, 36…. meses
</t>
        </r>
      </text>
    </comment>
    <comment ref="E7" authorId="0" shapeId="0" xr:uid="{00000000-0006-0000-0100-000003000000}">
      <text>
        <r>
          <rPr>
            <b/>
            <sz val="9"/>
            <color indexed="81"/>
            <rFont val="Calibri"/>
            <family val="2"/>
          </rPr>
          <t>REGISTRAR TASA ANUAL DEL SIMULADOR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jose luis diaz ceballos</author>
    <author>HP</author>
    <author>COMPAQ1</author>
  </authors>
  <commentList>
    <comment ref="J7" authorId="0" shapeId="0" xr:uid="{00000000-0006-0000-0300-000001000000}">
      <text>
        <r>
          <rPr>
            <b/>
            <sz val="9"/>
            <color indexed="81"/>
            <rFont val="Calibri"/>
            <family val="2"/>
          </rPr>
          <t>SUMAR BASICO, AUX. TRANSPORTE, OTROS</t>
        </r>
      </text>
    </comment>
    <comment ref="N7" authorId="0" shapeId="0" xr:uid="{00000000-0006-0000-0300-000002000000}">
      <text>
        <r>
          <rPr>
            <b/>
            <sz val="9"/>
            <color indexed="81"/>
            <rFont val="Calibri"/>
            <family val="2"/>
          </rPr>
          <t>SUMAR SALUD, PENSIÓN, OTROS.</t>
        </r>
      </text>
    </comment>
    <comment ref="O7" authorId="1" shapeId="0" xr:uid="{00000000-0006-0000-0300-000003000000}">
      <text>
        <r>
          <rPr>
            <b/>
            <sz val="9"/>
            <color indexed="81"/>
            <rFont val="Tahoma"/>
            <family val="2"/>
          </rPr>
          <t>HP:</t>
        </r>
        <r>
          <rPr>
            <sz val="9"/>
            <color indexed="81"/>
            <rFont val="Tahoma"/>
            <family val="2"/>
          </rPr>
          <t xml:space="preserve">
=(Total devengado-total deducido)</t>
        </r>
      </text>
    </comment>
    <comment ref="G8" authorId="1" shapeId="0" xr:uid="{00000000-0006-0000-0300-000004000000}">
      <text>
        <r>
          <rPr>
            <b/>
            <sz val="9"/>
            <color indexed="81"/>
            <rFont val="Tahoma"/>
            <family val="2"/>
          </rPr>
          <t>HP:</t>
        </r>
        <r>
          <rPr>
            <sz val="9"/>
            <color indexed="81"/>
            <rFont val="Tahoma"/>
            <family val="2"/>
          </rPr>
          <t xml:space="preserve">
=Salario*No. Dias/30</t>
        </r>
      </text>
    </comment>
    <comment ref="H8" authorId="1" shapeId="0" xr:uid="{00000000-0006-0000-0300-000005000000}">
      <text>
        <r>
          <rPr>
            <b/>
            <sz val="9"/>
            <color indexed="81"/>
            <rFont val="Tahoma"/>
            <family val="2"/>
          </rPr>
          <t>HP:</t>
        </r>
        <r>
          <rPr>
            <sz val="9"/>
            <color indexed="81"/>
            <rFont val="Tahoma"/>
            <family val="2"/>
          </rPr>
          <t xml:space="preserve">
Tiene derecho al auxilio de  transporte las pesonas que devengen hasta dos salarios minimos</t>
        </r>
      </text>
    </comment>
    <comment ref="I8" authorId="1" shapeId="0" xr:uid="{00000000-0006-0000-0300-000006000000}">
      <text>
        <r>
          <rPr>
            <b/>
            <sz val="9"/>
            <color indexed="81"/>
            <rFont val="Tahoma"/>
            <family val="2"/>
          </rPr>
          <t>HP:</t>
        </r>
        <r>
          <rPr>
            <sz val="9"/>
            <color indexed="81"/>
            <rFont val="Tahoma"/>
            <family val="2"/>
          </rPr>
          <t xml:space="preserve">
COMISIONES
HORAS EXTRAS, BONFICACION</t>
        </r>
      </text>
    </comment>
    <comment ref="K8" authorId="1" shapeId="0" xr:uid="{00000000-0006-0000-0300-000007000000}">
      <text>
        <r>
          <rPr>
            <b/>
            <sz val="9"/>
            <color indexed="81"/>
            <rFont val="Tahoma"/>
            <family val="2"/>
          </rPr>
          <t>HP:</t>
        </r>
        <r>
          <rPr>
            <sz val="9"/>
            <color indexed="81"/>
            <rFont val="Tahoma"/>
            <family val="2"/>
          </rPr>
          <t xml:space="preserve">
=(total devengado-auxiliode transporte)*4%</t>
        </r>
      </text>
    </comment>
    <comment ref="L8" authorId="1" shapeId="0" xr:uid="{00000000-0006-0000-0300-000008000000}">
      <text>
        <r>
          <rPr>
            <b/>
            <sz val="9"/>
            <color indexed="81"/>
            <rFont val="Tahoma"/>
            <family val="2"/>
          </rPr>
          <t>HP:</t>
        </r>
        <r>
          <rPr>
            <sz val="9"/>
            <color indexed="81"/>
            <rFont val="Tahoma"/>
            <family val="2"/>
          </rPr>
          <t xml:space="preserve">
=(total devengado-auxiliode transporte)*4%</t>
        </r>
      </text>
    </comment>
    <comment ref="M8" authorId="1" shapeId="0" xr:uid="{00000000-0006-0000-0300-000009000000}">
      <text>
        <r>
          <rPr>
            <b/>
            <sz val="9"/>
            <color indexed="81"/>
            <rFont val="Tahoma"/>
            <family val="2"/>
          </rPr>
          <t>HP:</t>
        </r>
        <r>
          <rPr>
            <sz val="9"/>
            <color indexed="81"/>
            <rFont val="Tahoma"/>
            <family val="2"/>
          </rPr>
          <t xml:space="preserve">
Retención en la fuente, descuentos por cooperativas, embargos judiciales, entre otros.</t>
        </r>
      </text>
    </comment>
    <comment ref="K19" authorId="1" shapeId="0" xr:uid="{00000000-0006-0000-0300-00000A000000}">
      <text>
        <r>
          <rPr>
            <b/>
            <sz val="9"/>
            <color indexed="81"/>
            <rFont val="Tahoma"/>
            <family val="2"/>
          </rPr>
          <t>HP:</t>
        </r>
        <r>
          <rPr>
            <sz val="9"/>
            <color indexed="81"/>
            <rFont val="Tahoma"/>
            <family val="2"/>
          </rPr>
          <t xml:space="preserve">
SE REGISTRAN  LAS NOVEDADES DEL MES DE TRABAJADORES COMO:  NUMERO DE DÍAS LABORADOS, HORAS EXTRAS, COMISIONES, BONIFICACIONES, ETC. </t>
        </r>
      </text>
    </comment>
    <comment ref="C20" authorId="1" shapeId="0" xr:uid="{00000000-0006-0000-0300-00000B000000}">
      <text>
        <r>
          <rPr>
            <b/>
            <sz val="9"/>
            <color indexed="81"/>
            <rFont val="Tahoma"/>
            <family val="2"/>
          </rPr>
          <t>HP:</t>
        </r>
        <r>
          <rPr>
            <sz val="9"/>
            <color indexed="81"/>
            <rFont val="Tahoma"/>
            <family val="2"/>
          </rPr>
          <t xml:space="preserve">
Empresa promotora de salud</t>
        </r>
      </text>
    </comment>
    <comment ref="E20" authorId="2" shapeId="0" xr:uid="{00000000-0006-0000-0300-00000C000000}">
      <text>
        <r>
          <rPr>
            <b/>
            <sz val="9"/>
            <color indexed="81"/>
            <rFont val="Tahoma"/>
            <family val="2"/>
          </rPr>
          <t>COMPAQ1:</t>
        </r>
        <r>
          <rPr>
            <sz val="9"/>
            <color indexed="81"/>
            <rFont val="Tahoma"/>
            <family val="2"/>
          </rPr>
          <t xml:space="preserve">
=(Total devengado-Aaux. Trasnporte)*8.5%</t>
        </r>
      </text>
    </comment>
    <comment ref="C21" authorId="1" shapeId="0" xr:uid="{00000000-0006-0000-0300-00000D000000}">
      <text>
        <r>
          <rPr>
            <b/>
            <sz val="9"/>
            <color indexed="81"/>
            <rFont val="Tahoma"/>
            <family val="2"/>
          </rPr>
          <t>HP:</t>
        </r>
        <r>
          <rPr>
            <sz val="9"/>
            <color indexed="81"/>
            <rFont val="Tahoma"/>
            <family val="2"/>
          </rPr>
          <t xml:space="preserve">
Administradora de riesgos profesionales</t>
        </r>
      </text>
    </comment>
    <comment ref="E21" authorId="2" shapeId="0" xr:uid="{00000000-0006-0000-0300-00000E000000}">
      <text>
        <r>
          <rPr>
            <sz val="9"/>
            <color indexed="81"/>
            <rFont val="Tahoma"/>
            <family val="2"/>
          </rPr>
          <t xml:space="preserve">TENER EN CUENTA  SEGÚN EL TIPO DE EMPRESA LA TABLA DE RIESGOS (%)
=(Total devengado-Aux. transporte)*1.044%  </t>
        </r>
      </text>
    </comment>
    <comment ref="I21" authorId="2" shapeId="0" xr:uid="{00000000-0006-0000-0300-00000F000000}">
      <text>
        <r>
          <rPr>
            <b/>
            <sz val="9"/>
            <color indexed="81"/>
            <rFont val="Tahoma"/>
            <family val="2"/>
          </rPr>
          <t>COMPAQ1:</t>
        </r>
        <r>
          <rPr>
            <sz val="9"/>
            <color indexed="81"/>
            <rFont val="Tahoma"/>
            <family val="2"/>
          </rPr>
          <t xml:space="preserve">
=Total devengado/12</t>
        </r>
      </text>
    </comment>
    <comment ref="E22" authorId="2" shapeId="0" xr:uid="{00000000-0006-0000-0300-000010000000}">
      <text>
        <r>
          <rPr>
            <b/>
            <sz val="9"/>
            <color indexed="81"/>
            <rFont val="Tahoma"/>
            <family val="2"/>
          </rPr>
          <t>COMPAQ1:</t>
        </r>
        <r>
          <rPr>
            <sz val="9"/>
            <color indexed="81"/>
            <rFont val="Tahoma"/>
            <family val="2"/>
          </rPr>
          <t xml:space="preserve">
=(Total devengado-Aux. transporte)*12%</t>
        </r>
      </text>
    </comment>
    <comment ref="I22" authorId="2" shapeId="0" xr:uid="{00000000-0006-0000-0300-000011000000}">
      <text>
        <r>
          <rPr>
            <b/>
            <sz val="9"/>
            <color indexed="81"/>
            <rFont val="Tahoma"/>
            <family val="2"/>
          </rPr>
          <t>COMPAQ1:
=Cesantia*12%</t>
        </r>
      </text>
    </comment>
    <comment ref="E23" authorId="2" shapeId="0" xr:uid="{00000000-0006-0000-0300-000012000000}">
      <text>
        <r>
          <rPr>
            <b/>
            <sz val="9"/>
            <color indexed="81"/>
            <rFont val="Tahoma"/>
            <family val="2"/>
          </rPr>
          <t>COMPAQ1:</t>
        </r>
        <r>
          <rPr>
            <sz val="9"/>
            <color indexed="81"/>
            <rFont val="Tahoma"/>
            <family val="2"/>
          </rPr>
          <t xml:space="preserve">
=(Total devengado-Aux. transporte)*2%</t>
        </r>
      </text>
    </comment>
    <comment ref="I23" authorId="2" shapeId="0" xr:uid="{00000000-0006-0000-0300-000013000000}">
      <text>
        <r>
          <rPr>
            <b/>
            <sz val="9"/>
            <color indexed="81"/>
            <rFont val="Tahoma"/>
            <family val="2"/>
          </rPr>
          <t>COMPAQ1:</t>
        </r>
        <r>
          <rPr>
            <sz val="9"/>
            <color indexed="81"/>
            <rFont val="Tahoma"/>
            <family val="2"/>
          </rPr>
          <t xml:space="preserve">
=Total devengado/12</t>
        </r>
      </text>
    </comment>
    <comment ref="C24" authorId="1" shapeId="0" xr:uid="{00000000-0006-0000-0300-000014000000}">
      <text>
        <r>
          <rPr>
            <b/>
            <sz val="9"/>
            <color indexed="81"/>
            <rFont val="Tahoma"/>
            <family val="2"/>
          </rPr>
          <t>HP:</t>
        </r>
        <r>
          <rPr>
            <sz val="9"/>
            <color indexed="81"/>
            <rFont val="Tahoma"/>
            <family val="2"/>
          </rPr>
          <t xml:space="preserve">
INSTITUTO COLOMBIANO DE BIENESTAR FAMILIAR</t>
        </r>
      </text>
    </comment>
    <comment ref="E24" authorId="2" shapeId="0" xr:uid="{00000000-0006-0000-0300-000015000000}">
      <text>
        <r>
          <rPr>
            <b/>
            <sz val="9"/>
            <color indexed="81"/>
            <rFont val="Tahoma"/>
            <family val="2"/>
          </rPr>
          <t>COMPAQ1:
=(Total devengado- Aux. transporte)*3%</t>
        </r>
      </text>
    </comment>
    <comment ref="I24" authorId="2" shapeId="0" xr:uid="{00000000-0006-0000-0300-000016000000}">
      <text>
        <r>
          <rPr>
            <b/>
            <sz val="9"/>
            <color indexed="81"/>
            <rFont val="Tahoma"/>
            <family val="2"/>
          </rPr>
          <t>COMPAQ1:</t>
        </r>
        <r>
          <rPr>
            <sz val="9"/>
            <color indexed="81"/>
            <rFont val="Tahoma"/>
            <family val="2"/>
          </rPr>
          <t xml:space="preserve">
=(Total devengado-Aux. transporte-horas extras-comisones)/24</t>
        </r>
      </text>
    </comment>
    <comment ref="C25" authorId="1" shapeId="0" xr:uid="{00000000-0006-0000-0300-000017000000}">
      <text>
        <r>
          <rPr>
            <b/>
            <sz val="9"/>
            <color indexed="81"/>
            <rFont val="Tahoma"/>
            <family val="2"/>
          </rPr>
          <t>HP:</t>
        </r>
        <r>
          <rPr>
            <sz val="9"/>
            <color indexed="81"/>
            <rFont val="Tahoma"/>
            <family val="2"/>
          </rPr>
          <t xml:space="preserve">
CAJA DE COMPENSACION FAMILIAR</t>
        </r>
      </text>
    </comment>
    <comment ref="E25" authorId="2" shapeId="0" xr:uid="{00000000-0006-0000-0300-000018000000}">
      <text>
        <r>
          <rPr>
            <b/>
            <sz val="9"/>
            <color indexed="81"/>
            <rFont val="Tahoma"/>
            <family val="2"/>
          </rPr>
          <t>COMPAQ1:</t>
        </r>
        <r>
          <rPr>
            <sz val="9"/>
            <color indexed="81"/>
            <rFont val="Tahoma"/>
            <family val="2"/>
          </rPr>
          <t xml:space="preserve">
=(Total devengado- Aux. trsnaporte)*4%</t>
        </r>
      </text>
    </comment>
    <comment ref="O33" authorId="1" shapeId="0" xr:uid="{00000000-0006-0000-0300-000019000000}">
      <text>
        <r>
          <rPr>
            <b/>
            <sz val="9"/>
            <color indexed="81"/>
            <rFont val="Tahoma"/>
            <family val="2"/>
          </rPr>
          <t>HP:</t>
        </r>
        <r>
          <rPr>
            <sz val="9"/>
            <color indexed="81"/>
            <rFont val="Tahoma"/>
            <family val="2"/>
          </rPr>
          <t xml:space="preserve">
=(Total devengado-total deducido)</t>
        </r>
      </text>
    </comment>
    <comment ref="G34" authorId="1" shapeId="0" xr:uid="{00000000-0006-0000-0300-00001A000000}">
      <text>
        <r>
          <rPr>
            <b/>
            <sz val="9"/>
            <color indexed="81"/>
            <rFont val="Tahoma"/>
            <family val="2"/>
          </rPr>
          <t>HP:</t>
        </r>
        <r>
          <rPr>
            <sz val="9"/>
            <color indexed="81"/>
            <rFont val="Tahoma"/>
            <family val="2"/>
          </rPr>
          <t xml:space="preserve">
=Salario*No. Dias/30</t>
        </r>
      </text>
    </comment>
    <comment ref="H34" authorId="1" shapeId="0" xr:uid="{00000000-0006-0000-0300-00001B000000}">
      <text>
        <r>
          <rPr>
            <b/>
            <sz val="9"/>
            <color indexed="81"/>
            <rFont val="Tahoma"/>
            <family val="2"/>
          </rPr>
          <t>HP:</t>
        </r>
        <r>
          <rPr>
            <sz val="9"/>
            <color indexed="81"/>
            <rFont val="Tahoma"/>
            <family val="2"/>
          </rPr>
          <t xml:space="preserve">
Tiene derecho al auxilio de  transporte las pesonas que devengen hasta dos salarios minimos</t>
        </r>
      </text>
    </comment>
    <comment ref="I34" authorId="1" shapeId="0" xr:uid="{00000000-0006-0000-0300-00001C000000}">
      <text>
        <r>
          <rPr>
            <b/>
            <sz val="9"/>
            <color indexed="81"/>
            <rFont val="Tahoma"/>
            <family val="2"/>
          </rPr>
          <t>HP:</t>
        </r>
        <r>
          <rPr>
            <sz val="9"/>
            <color indexed="81"/>
            <rFont val="Tahoma"/>
            <family val="2"/>
          </rPr>
          <t xml:space="preserve">
COMISIONES
HORAS EXTRAS, BONFICACION </t>
        </r>
      </text>
    </comment>
    <comment ref="K34" authorId="1" shapeId="0" xr:uid="{00000000-0006-0000-0300-00001D000000}">
      <text>
        <r>
          <rPr>
            <b/>
            <sz val="9"/>
            <color indexed="81"/>
            <rFont val="Tahoma"/>
            <family val="2"/>
          </rPr>
          <t>HP:</t>
        </r>
        <r>
          <rPr>
            <sz val="9"/>
            <color indexed="81"/>
            <rFont val="Tahoma"/>
            <family val="2"/>
          </rPr>
          <t xml:space="preserve">
=(total devengado-auxiliode transporte)*4%</t>
        </r>
      </text>
    </comment>
    <comment ref="L34" authorId="1" shapeId="0" xr:uid="{00000000-0006-0000-0300-00001E000000}">
      <text>
        <r>
          <rPr>
            <b/>
            <sz val="9"/>
            <color indexed="81"/>
            <rFont val="Tahoma"/>
            <family val="2"/>
          </rPr>
          <t>HP:</t>
        </r>
        <r>
          <rPr>
            <sz val="9"/>
            <color indexed="81"/>
            <rFont val="Tahoma"/>
            <family val="2"/>
          </rPr>
          <t xml:space="preserve">
=(total devengado-auxiliode transporte)*4%</t>
        </r>
      </text>
    </comment>
    <comment ref="M34" authorId="1" shapeId="0" xr:uid="{00000000-0006-0000-0300-00001F000000}">
      <text>
        <r>
          <rPr>
            <b/>
            <sz val="9"/>
            <color indexed="81"/>
            <rFont val="Tahoma"/>
            <family val="2"/>
          </rPr>
          <t>HP:</t>
        </r>
        <r>
          <rPr>
            <sz val="9"/>
            <color indexed="81"/>
            <rFont val="Tahoma"/>
            <family val="2"/>
          </rPr>
          <t xml:space="preserve">
Retención en la fuente, descuentos por cooperativas, embargos judiciales, entre otros.</t>
        </r>
      </text>
    </comment>
    <comment ref="K45" authorId="1" shapeId="0" xr:uid="{00000000-0006-0000-0300-000020000000}">
      <text>
        <r>
          <rPr>
            <b/>
            <sz val="9"/>
            <color indexed="81"/>
            <rFont val="Tahoma"/>
            <family val="2"/>
          </rPr>
          <t>HP:</t>
        </r>
        <r>
          <rPr>
            <sz val="9"/>
            <color indexed="81"/>
            <rFont val="Tahoma"/>
            <family val="2"/>
          </rPr>
          <t xml:space="preserve">
HP:
SE REGISTRAN  LAS NOVEDADES DEL MES DE TRABAJADORES COMO:  NUMERO DE DÍAS LABORADOS, HORAS EXTRAS, COMISIONES, BONIFICACIONES, ETC. </t>
        </r>
      </text>
    </comment>
    <comment ref="C46" authorId="1" shapeId="0" xr:uid="{00000000-0006-0000-0300-000021000000}">
      <text>
        <r>
          <rPr>
            <b/>
            <sz val="9"/>
            <color indexed="81"/>
            <rFont val="Tahoma"/>
            <family val="2"/>
          </rPr>
          <t>HP:</t>
        </r>
        <r>
          <rPr>
            <sz val="9"/>
            <color indexed="81"/>
            <rFont val="Tahoma"/>
            <family val="2"/>
          </rPr>
          <t xml:space="preserve">
Empresa promotora de salud</t>
        </r>
      </text>
    </comment>
    <comment ref="E46" authorId="2" shapeId="0" xr:uid="{00000000-0006-0000-0300-000022000000}">
      <text>
        <r>
          <rPr>
            <b/>
            <sz val="9"/>
            <color indexed="81"/>
            <rFont val="Tahoma"/>
            <family val="2"/>
          </rPr>
          <t>COMPAQ1:</t>
        </r>
        <r>
          <rPr>
            <sz val="9"/>
            <color indexed="81"/>
            <rFont val="Tahoma"/>
            <family val="2"/>
          </rPr>
          <t xml:space="preserve">
=(Total devengado-Aaux. Trasnporte)*8.5%</t>
        </r>
      </text>
    </comment>
    <comment ref="C47" authorId="1" shapeId="0" xr:uid="{00000000-0006-0000-0300-000023000000}">
      <text>
        <r>
          <rPr>
            <b/>
            <sz val="9"/>
            <color indexed="81"/>
            <rFont val="Tahoma"/>
            <family val="2"/>
          </rPr>
          <t>HP:</t>
        </r>
        <r>
          <rPr>
            <sz val="9"/>
            <color indexed="81"/>
            <rFont val="Tahoma"/>
            <family val="2"/>
          </rPr>
          <t xml:space="preserve">
Administradora de riesgos profesionales</t>
        </r>
      </text>
    </comment>
    <comment ref="E47" authorId="2" shapeId="0" xr:uid="{00000000-0006-0000-0300-000024000000}">
      <text>
        <r>
          <rPr>
            <b/>
            <sz val="9"/>
            <color indexed="81"/>
            <rFont val="Tahoma"/>
            <family val="2"/>
          </rPr>
          <t>COMPAQ1:</t>
        </r>
        <r>
          <rPr>
            <sz val="9"/>
            <color indexed="81"/>
            <rFont val="Tahoma"/>
            <family val="2"/>
          </rPr>
          <t xml:space="preserve">
=(Total devengado-Aux. transporte)*1.044%  nota: según tabla de riesgos</t>
        </r>
      </text>
    </comment>
    <comment ref="I47" authorId="2" shapeId="0" xr:uid="{00000000-0006-0000-0300-000025000000}">
      <text>
        <r>
          <rPr>
            <b/>
            <sz val="9"/>
            <color indexed="81"/>
            <rFont val="Tahoma"/>
            <family val="2"/>
          </rPr>
          <t>COMPAQ1:</t>
        </r>
        <r>
          <rPr>
            <sz val="9"/>
            <color indexed="81"/>
            <rFont val="Tahoma"/>
            <family val="2"/>
          </rPr>
          <t xml:space="preserve">
=Total devengado/12</t>
        </r>
      </text>
    </comment>
    <comment ref="E48" authorId="2" shapeId="0" xr:uid="{00000000-0006-0000-0300-000026000000}">
      <text>
        <r>
          <rPr>
            <b/>
            <sz val="9"/>
            <color indexed="81"/>
            <rFont val="Tahoma"/>
            <family val="2"/>
          </rPr>
          <t>COMPAQ1:</t>
        </r>
        <r>
          <rPr>
            <sz val="9"/>
            <color indexed="81"/>
            <rFont val="Tahoma"/>
            <family val="2"/>
          </rPr>
          <t xml:space="preserve">
=(Total devengado-Aux. transporte)*12%</t>
        </r>
      </text>
    </comment>
    <comment ref="I48" authorId="2" shapeId="0" xr:uid="{00000000-0006-0000-0300-000027000000}">
      <text>
        <r>
          <rPr>
            <b/>
            <sz val="9"/>
            <color indexed="81"/>
            <rFont val="Tahoma"/>
            <family val="2"/>
          </rPr>
          <t>COMPAQ1:
=Cesantia*12%</t>
        </r>
      </text>
    </comment>
    <comment ref="E49" authorId="2" shapeId="0" xr:uid="{00000000-0006-0000-0300-000028000000}">
      <text>
        <r>
          <rPr>
            <b/>
            <sz val="9"/>
            <color indexed="81"/>
            <rFont val="Tahoma"/>
            <family val="2"/>
          </rPr>
          <t>COMPAQ1:</t>
        </r>
        <r>
          <rPr>
            <sz val="9"/>
            <color indexed="81"/>
            <rFont val="Tahoma"/>
            <family val="2"/>
          </rPr>
          <t xml:space="preserve">
=(Total devengado-Aux. transporte)*2%</t>
        </r>
      </text>
    </comment>
    <comment ref="I49" authorId="2" shapeId="0" xr:uid="{00000000-0006-0000-0300-000029000000}">
      <text>
        <r>
          <rPr>
            <b/>
            <sz val="9"/>
            <color indexed="81"/>
            <rFont val="Tahoma"/>
            <family val="2"/>
          </rPr>
          <t>COMPAQ1:</t>
        </r>
        <r>
          <rPr>
            <sz val="9"/>
            <color indexed="81"/>
            <rFont val="Tahoma"/>
            <family val="2"/>
          </rPr>
          <t xml:space="preserve">
=Total devengado/12</t>
        </r>
      </text>
    </comment>
    <comment ref="C50" authorId="1" shapeId="0" xr:uid="{00000000-0006-0000-0300-00002A000000}">
      <text>
        <r>
          <rPr>
            <b/>
            <sz val="9"/>
            <color indexed="81"/>
            <rFont val="Tahoma"/>
            <family val="2"/>
          </rPr>
          <t>HP:</t>
        </r>
        <r>
          <rPr>
            <sz val="9"/>
            <color indexed="81"/>
            <rFont val="Tahoma"/>
            <family val="2"/>
          </rPr>
          <t xml:space="preserve">
INSTITUTO COLOMBIANO DE BIENESTAR FAMILIAR</t>
        </r>
      </text>
    </comment>
    <comment ref="E50" authorId="2" shapeId="0" xr:uid="{00000000-0006-0000-0300-00002B000000}">
      <text>
        <r>
          <rPr>
            <b/>
            <sz val="9"/>
            <color indexed="81"/>
            <rFont val="Tahoma"/>
            <family val="2"/>
          </rPr>
          <t>COMPAQ1:
=(Total devengado- Aux. transporte)*3%</t>
        </r>
      </text>
    </comment>
    <comment ref="I50" authorId="2" shapeId="0" xr:uid="{00000000-0006-0000-0300-00002C000000}">
      <text>
        <r>
          <rPr>
            <b/>
            <sz val="9"/>
            <color indexed="81"/>
            <rFont val="Tahoma"/>
            <family val="2"/>
          </rPr>
          <t>COMPAQ1:</t>
        </r>
        <r>
          <rPr>
            <sz val="9"/>
            <color indexed="81"/>
            <rFont val="Tahoma"/>
            <family val="2"/>
          </rPr>
          <t xml:space="preserve">
=(Total devengado-Aux. transporte-horas extras-comisiones)/24</t>
        </r>
      </text>
    </comment>
    <comment ref="C51" authorId="1" shapeId="0" xr:uid="{00000000-0006-0000-0300-00002D000000}">
      <text>
        <r>
          <rPr>
            <b/>
            <sz val="9"/>
            <color indexed="81"/>
            <rFont val="Tahoma"/>
            <family val="2"/>
          </rPr>
          <t>HP:</t>
        </r>
        <r>
          <rPr>
            <sz val="9"/>
            <color indexed="81"/>
            <rFont val="Tahoma"/>
            <family val="2"/>
          </rPr>
          <t xml:space="preserve">
CAJA DE COMPENSACION FAMILIAR</t>
        </r>
      </text>
    </comment>
    <comment ref="E51" authorId="2" shapeId="0" xr:uid="{00000000-0006-0000-0300-00002E000000}">
      <text>
        <r>
          <rPr>
            <b/>
            <sz val="9"/>
            <color indexed="81"/>
            <rFont val="Tahoma"/>
            <family val="2"/>
          </rPr>
          <t>COMPAQ1:</t>
        </r>
        <r>
          <rPr>
            <sz val="9"/>
            <color indexed="81"/>
            <rFont val="Tahoma"/>
            <family val="2"/>
          </rPr>
          <t xml:space="preserve">
=(Total devengado- Aux. trsnaporte)*4%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Zoraya Zubieta</author>
    <author>Daniela</author>
  </authors>
  <commentList>
    <comment ref="D5" authorId="0" shapeId="0" xr:uid="{00000000-0006-0000-0400-000001000000}">
      <text>
        <r>
          <rPr>
            <b/>
            <sz val="9"/>
            <color indexed="81"/>
            <rFont val="Calibri"/>
            <family val="2"/>
          </rPr>
          <t>REGISTRE EL TOTAL DE MAQUINARIA Y EQUIPO, EQUIPO DE OFICINA, EQUIPOS DE COMPUTACIÓN Y COMUNICACIÓN…..</t>
        </r>
      </text>
    </comment>
    <comment ref="C6" authorId="1" shapeId="0" xr:uid="{00000000-0006-0000-0400-000002000000}">
      <text>
        <r>
          <rPr>
            <b/>
            <sz val="9"/>
            <color indexed="81"/>
            <rFont val="Tahoma"/>
            <family val="2"/>
          </rPr>
          <t>depreciacion:
10 años
120 meses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6" authorId="1" shapeId="0" xr:uid="{00000000-0006-0000-0400-000003000000}">
      <text>
        <r>
          <rPr>
            <b/>
            <sz val="9"/>
            <color indexed="81"/>
            <rFont val="Tahoma"/>
            <family val="2"/>
          </rPr>
          <t>depreciacion del bien:
5 años
60 meses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7" authorId="1" shapeId="0" xr:uid="{00000000-0006-0000-0400-000004000000}">
      <text>
        <r>
          <rPr>
            <b/>
            <sz val="9"/>
            <color indexed="81"/>
            <rFont val="Tahoma"/>
            <family val="2"/>
          </rPr>
          <t>depreciacion:
10 años
120 meses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7" authorId="1" shapeId="0" xr:uid="{00000000-0006-0000-0400-000005000000}">
      <text>
        <r>
          <rPr>
            <b/>
            <sz val="9"/>
            <color indexed="81"/>
            <rFont val="Tahoma"/>
            <family val="2"/>
          </rPr>
          <t>deprecicion del bien:
4 años
48 meses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8" authorId="1" shapeId="0" xr:uid="{00000000-0006-0000-0400-000006000000}">
      <text>
        <r>
          <rPr>
            <b/>
            <sz val="9"/>
            <color indexed="81"/>
            <rFont val="Tahoma"/>
            <family val="2"/>
          </rPr>
          <t xml:space="preserve">depreciacion:
4 años
48 meses
</t>
        </r>
      </text>
    </comment>
    <comment ref="E8" authorId="1" shapeId="0" xr:uid="{00000000-0006-0000-0400-000007000000}">
      <text>
        <r>
          <rPr>
            <b/>
            <sz val="9"/>
            <color indexed="81"/>
            <rFont val="Tahoma"/>
            <family val="2"/>
          </rPr>
          <t>depreciacion del bien:
3 años
36 meses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jose luis diaz ceballos</author>
    <author>SALA4</author>
  </authors>
  <commentList>
    <comment ref="D6" authorId="0" shapeId="0" xr:uid="{00000000-0006-0000-0600-000001000000}">
      <text>
        <r>
          <rPr>
            <b/>
            <sz val="9"/>
            <color indexed="81"/>
            <rFont val="Calibri"/>
            <family val="2"/>
          </rPr>
          <t>COSTOS FIJOS + GASTOS ADMINISTRATIVOS</t>
        </r>
      </text>
    </comment>
    <comment ref="D7" authorId="0" shapeId="0" xr:uid="{00000000-0006-0000-0600-000002000000}">
      <text>
        <r>
          <rPr>
            <b/>
            <sz val="9"/>
            <color indexed="81"/>
            <rFont val="Calibri"/>
            <family val="2"/>
          </rPr>
          <t>% DE MC</t>
        </r>
      </text>
    </comment>
    <comment ref="C9" authorId="0" shapeId="0" xr:uid="{00000000-0006-0000-0600-000003000000}">
      <text>
        <r>
          <rPr>
            <b/>
            <sz val="12"/>
            <color indexed="81"/>
            <rFont val="Calibri"/>
          </rPr>
          <t>Dividir la suma costos fijos mas gastos administrativos entre  % de margen de contribución</t>
        </r>
      </text>
    </comment>
    <comment ref="E9" authorId="1" shapeId="0" xr:uid="{00000000-0006-0000-0600-000004000000}">
      <text>
        <r>
          <rPr>
            <b/>
            <sz val="9"/>
            <color indexed="81"/>
            <rFont val="Tahoma"/>
            <family val="2"/>
          </rPr>
          <t>SALA4:</t>
        </r>
        <r>
          <rPr>
            <sz val="9"/>
            <color indexed="81"/>
            <rFont val="Tahoma"/>
            <family val="2"/>
          </rPr>
          <t xml:space="preserve">
Volumen de ventas necesario para sostener el negocio  sin  perder ni ganar dinero.</t>
        </r>
      </text>
    </comment>
    <comment ref="E10" authorId="0" shapeId="0" xr:uid="{00000000-0006-0000-0600-000005000000}">
      <text>
        <r>
          <rPr>
            <b/>
            <sz val="9"/>
            <color indexed="81"/>
            <rFont val="Calibri"/>
            <family val="2"/>
          </rPr>
          <t>1. CF+GA/MC unidades
2. PE/VENTAS (valor unitario)</t>
        </r>
      </text>
    </comment>
    <comment ref="E11" authorId="0" shapeId="0" xr:uid="{00000000-0006-0000-0600-000006000000}">
      <text>
        <r>
          <rPr>
            <b/>
            <sz val="9"/>
            <color indexed="81"/>
            <rFont val="Calibri"/>
            <family val="2"/>
          </rPr>
          <t>1. CF+GA/MC unidades
2. PE/VENTAS (valor unitario)</t>
        </r>
      </text>
    </comment>
    <comment ref="E12" authorId="0" shapeId="0" xr:uid="{00000000-0006-0000-0600-000007000000}">
      <text>
        <r>
          <rPr>
            <b/>
            <sz val="9"/>
            <color indexed="81"/>
            <rFont val="Calibri"/>
            <family val="2"/>
          </rPr>
          <t>1. CF+GA/MC unidades
2. PE/VENTAS (valor unitario)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José Luis Díaz</author>
    <author>HP</author>
    <author>Zoraya Zubieta</author>
  </authors>
  <commentList>
    <comment ref="B4" authorId="0" shapeId="0" xr:uid="{00000000-0006-0000-0900-000001000000}">
      <text>
        <r>
          <rPr>
            <sz val="9"/>
            <color indexed="81"/>
            <rFont val="Tahoma"/>
            <family val="2"/>
          </rPr>
          <t xml:space="preserve">La fecha esta determina según el periodo ya sea mensual, bimestral, trimestral, semestre, año.
</t>
        </r>
      </text>
    </comment>
    <comment ref="D11" authorId="1" shapeId="0" xr:uid="{00000000-0006-0000-0900-000002000000}">
      <text>
        <r>
          <rPr>
            <b/>
            <sz val="9"/>
            <color indexed="81"/>
            <rFont val="Tahoma"/>
            <family val="2"/>
          </rPr>
          <t>HP:</t>
        </r>
        <r>
          <rPr>
            <sz val="9"/>
            <color indexed="81"/>
            <rFont val="Tahoma"/>
            <family val="2"/>
          </rPr>
          <t xml:space="preserve">
SUMAMOS LOS INGRESOS OPERACIONALES Y NO OPERACIONALES</t>
        </r>
      </text>
    </comment>
    <comment ref="C13" authorId="2" shapeId="0" xr:uid="{00000000-0006-0000-0900-000003000000}">
      <text>
        <r>
          <rPr>
            <b/>
            <sz val="9"/>
            <color indexed="81"/>
            <rFont val="Calibri"/>
            <family val="2"/>
          </rPr>
          <t>REGISTRAR LOS COSTOS VARIABLES MENSUALES</t>
        </r>
      </text>
    </comment>
    <comment ref="C14" authorId="2" shapeId="0" xr:uid="{00000000-0006-0000-0900-000004000000}">
      <text>
        <r>
          <rPr>
            <b/>
            <sz val="9"/>
            <color indexed="81"/>
            <rFont val="Calibri"/>
            <family val="2"/>
          </rPr>
          <t>REGISTRA COSTOS FIJOS MENSUALES</t>
        </r>
      </text>
    </comment>
    <comment ref="D14" authorId="1" shapeId="0" xr:uid="{00000000-0006-0000-0900-000005000000}">
      <text>
        <r>
          <rPr>
            <b/>
            <sz val="9"/>
            <color indexed="81"/>
            <rFont val="Tahoma"/>
            <family val="2"/>
          </rPr>
          <t>HP:</t>
        </r>
        <r>
          <rPr>
            <sz val="9"/>
            <color indexed="81"/>
            <rFont val="Tahoma"/>
            <family val="2"/>
          </rPr>
          <t xml:space="preserve">
SUMAR COSTOS VARIABLES Y COSTOS FIJOS</t>
        </r>
      </text>
    </comment>
    <comment ref="D16" authorId="1" shapeId="0" xr:uid="{00000000-0006-0000-0900-000006000000}">
      <text>
        <r>
          <rPr>
            <b/>
            <sz val="9"/>
            <color indexed="81"/>
            <rFont val="Tahoma"/>
            <family val="2"/>
          </rPr>
          <t>HP:</t>
        </r>
        <r>
          <rPr>
            <sz val="9"/>
            <color indexed="81"/>
            <rFont val="Tahoma"/>
            <family val="2"/>
          </rPr>
          <t xml:space="preserve">
LA GANANCIA BRUTA RESULTA DE LA DIFERENCIA ENTRE INGRESOS Y COSTO DE VENTAS</t>
        </r>
      </text>
    </comment>
    <comment ref="B19" authorId="1" shapeId="0" xr:uid="{00000000-0006-0000-0900-000007000000}">
      <text>
        <r>
          <rPr>
            <b/>
            <sz val="9"/>
            <color indexed="81"/>
            <rFont val="Tahoma"/>
            <family val="2"/>
          </rPr>
          <t>HP:</t>
        </r>
        <r>
          <rPr>
            <sz val="9"/>
            <color indexed="81"/>
            <rFont val="Tahoma"/>
            <family val="2"/>
          </rPr>
          <t xml:space="preserve">
SUMAR EL VALOR DE SALARIOS, APORTES PARA FISCALES, PRESTACIONE SOCIALES</t>
        </r>
      </text>
    </comment>
    <comment ref="B26" authorId="1" shapeId="0" xr:uid="{00000000-0006-0000-0900-000008000000}">
      <text>
        <r>
          <rPr>
            <b/>
            <sz val="9"/>
            <color indexed="81"/>
            <rFont val="Tahoma"/>
            <family val="2"/>
          </rPr>
          <t>HP:</t>
        </r>
        <r>
          <rPr>
            <sz val="9"/>
            <color indexed="81"/>
            <rFont val="Tahoma"/>
            <family val="2"/>
          </rPr>
          <t xml:space="preserve">
CONTIENEN LA MISMA INFORMACION DE CUENTAS OPERACIONALES  DE ADMON. INCIANDO CON 52</t>
        </r>
      </text>
    </comment>
  </commentList>
</comments>
</file>

<file path=xl/sharedStrings.xml><?xml version="1.0" encoding="utf-8"?>
<sst xmlns="http://schemas.openxmlformats.org/spreadsheetml/2006/main" count="342" uniqueCount="249">
  <si>
    <t xml:space="preserve"> PLAN DE INVERSION   OAXACA</t>
  </si>
  <si>
    <t>CANTIDAD</t>
  </si>
  <si>
    <t>DETALLE</t>
  </si>
  <si>
    <t>VALOR UNITARIO</t>
  </si>
  <si>
    <t xml:space="preserve">VALOR     TOTAL </t>
  </si>
  <si>
    <t>COTIZACIÓN Y TELÉFONO</t>
  </si>
  <si>
    <t>MAQUINARIA Y EQUIPO</t>
  </si>
  <si>
    <t>Parrilla</t>
  </si>
  <si>
    <t>tromencriolla</t>
  </si>
  <si>
    <t>Hornos microondas</t>
  </si>
  <si>
    <t>alkosto</t>
  </si>
  <si>
    <t xml:space="preserve">Maquina lavaloza </t>
  </si>
  <si>
    <t>capracho</t>
  </si>
  <si>
    <t>Freidora</t>
  </si>
  <si>
    <t>yescom</t>
  </si>
  <si>
    <t xml:space="preserve">mesa de trabajo </t>
  </si>
  <si>
    <t>foodandsupply</t>
  </si>
  <si>
    <t xml:space="preserve">Refrigeradores y congelador </t>
  </si>
  <si>
    <t>true</t>
  </si>
  <si>
    <t>Total maquinaria y equipo</t>
  </si>
  <si>
    <t>EQUIPO DE OFICINA</t>
  </si>
  <si>
    <t>sillas</t>
  </si>
  <si>
    <t>independiente</t>
  </si>
  <si>
    <t>estaciones de servicio</t>
  </si>
  <si>
    <t>mesas</t>
  </si>
  <si>
    <t>easy</t>
  </si>
  <si>
    <t>Barras</t>
  </si>
  <si>
    <t>total equipo de oficina</t>
  </si>
  <si>
    <t>EQUIPOS DE COMPUTACION Y COMUNICACIÓN</t>
  </si>
  <si>
    <t>telefonos</t>
  </si>
  <si>
    <t>computadores</t>
  </si>
  <si>
    <t>Total equipos de computacion y comunicación</t>
  </si>
  <si>
    <t>MATERIALES Y REPUESTOS</t>
  </si>
  <si>
    <t>platos</t>
  </si>
  <si>
    <t>homecenter</t>
  </si>
  <si>
    <t>cubiertos</t>
  </si>
  <si>
    <t>tramontina</t>
  </si>
  <si>
    <t>pocillos</t>
  </si>
  <si>
    <t>vasos</t>
  </si>
  <si>
    <t>copas</t>
  </si>
  <si>
    <t>Total materiales y repuetos</t>
  </si>
  <si>
    <t>GASTOS LEGALES</t>
  </si>
  <si>
    <t>camara de comercio</t>
  </si>
  <si>
    <t>dian</t>
  </si>
  <si>
    <t>total gastos legales</t>
  </si>
  <si>
    <t>GASTOS DIVERSOS</t>
  </si>
  <si>
    <t xml:space="preserve">arriendo </t>
  </si>
  <si>
    <t>total gastos diversos</t>
  </si>
  <si>
    <t>TOTAL   PLAN DE INVERSIÓN</t>
  </si>
  <si>
    <t>FUENTES DE FINANCIACIÓN</t>
  </si>
  <si>
    <t>VALOR DEL PRESTAMO:</t>
  </si>
  <si>
    <t>BANCO</t>
  </si>
  <si>
    <t>MODALIDAD DE LA CUOTA</t>
  </si>
  <si>
    <t>CANTIDAD DE  LA CUOTAS</t>
  </si>
  <si>
    <t>TASA</t>
  </si>
  <si>
    <t>VALOR MENSUAL</t>
  </si>
  <si>
    <t>Banco de Bogota</t>
  </si>
  <si>
    <t>MENSUAL</t>
  </si>
  <si>
    <t>APORTE DE CAPITAL</t>
  </si>
  <si>
    <t xml:space="preserve">Maricela Alape </t>
  </si>
  <si>
    <t>Felipe Espinosa</t>
  </si>
  <si>
    <t>total aporte capital</t>
  </si>
  <si>
    <t>Datos crédito Oaxaca</t>
  </si>
  <si>
    <t>TIPO DE PERIODO</t>
  </si>
  <si>
    <t>Meses</t>
  </si>
  <si>
    <t>TASA BASE DE INFORMACIÓN</t>
  </si>
  <si>
    <t>Periódica</t>
  </si>
  <si>
    <t xml:space="preserve">TASA DE INTERES </t>
  </si>
  <si>
    <t>CAPITAL</t>
  </si>
  <si>
    <t>NUMERO DE PERIODOS</t>
  </si>
  <si>
    <t/>
  </si>
  <si>
    <t>TABLA DE AMORTIZACION</t>
  </si>
  <si>
    <t>MES</t>
  </si>
  <si>
    <t>SALDO INICIAL</t>
  </si>
  <si>
    <t>CUOTA</t>
  </si>
  <si>
    <t>INTERES</t>
  </si>
  <si>
    <t>ABONO A CAPITAL</t>
  </si>
  <si>
    <t>SALDO FINAL</t>
  </si>
  <si>
    <t>=</t>
  </si>
  <si>
    <t>OAXACA</t>
  </si>
  <si>
    <t>NOMINA ADMINISTRATIVA</t>
  </si>
  <si>
    <t>MES:</t>
  </si>
  <si>
    <t>enero</t>
  </si>
  <si>
    <t>No.</t>
  </si>
  <si>
    <t>NOMBRE DEL EMPLEADO</t>
  </si>
  <si>
    <t>SALARIO</t>
  </si>
  <si>
    <t>No. DIAS</t>
  </si>
  <si>
    <t>DEVENGADO</t>
  </si>
  <si>
    <t>TOTAL DEVEBGADO</t>
  </si>
  <si>
    <t>DEDUCCIONES</t>
  </si>
  <si>
    <t>TOTAL DEDUCIDO</t>
  </si>
  <si>
    <t>NETO PAGADO</t>
  </si>
  <si>
    <t>BASICO</t>
  </si>
  <si>
    <t>AUX.TRANS</t>
  </si>
  <si>
    <t>OTROS</t>
  </si>
  <si>
    <t>SALUD</t>
  </si>
  <si>
    <t>PENSIONES</t>
  </si>
  <si>
    <t>Sara Espinosa (Administradora)</t>
  </si>
  <si>
    <t>Mauricio Pinzon (jefe de cocina)</t>
  </si>
  <si>
    <t>TOTAL</t>
  </si>
  <si>
    <t>APROPIACIONES o Aportes para fiscales</t>
  </si>
  <si>
    <t>VALOR</t>
  </si>
  <si>
    <t>PROVISIONES o Prestaciones Sociales</t>
  </si>
  <si>
    <t>OBSERVACIONES:</t>
  </si>
  <si>
    <t>ARP</t>
  </si>
  <si>
    <t>CESANTIAS</t>
  </si>
  <si>
    <t>FONDO DE PENSIONES</t>
  </si>
  <si>
    <t>INTERESES / CESANTIAS</t>
  </si>
  <si>
    <t>SENA</t>
  </si>
  <si>
    <t>PRIMA Y SERVICIOS</t>
  </si>
  <si>
    <t>ICBF</t>
  </si>
  <si>
    <t>VACACIONES</t>
  </si>
  <si>
    <t>CCF</t>
  </si>
  <si>
    <t>NOMINA OPERATIVA</t>
  </si>
  <si>
    <t>NOMBRE DEL EMPLEADO Y CARGO</t>
  </si>
  <si>
    <t>TOTAL DEVENGADO</t>
  </si>
  <si>
    <t>Sergio Bulla(mesas)</t>
  </si>
  <si>
    <t>Jarledy Peralta (cocina)</t>
  </si>
  <si>
    <t>leonardo Gonzales (bar)</t>
  </si>
  <si>
    <t>Juan Pablo Pedraza (cocina)</t>
  </si>
  <si>
    <t>DEPRECIACION DE PROPIEDADES PLANTA Y EQUIPO</t>
  </si>
  <si>
    <t>PROPIEDADES PLANTA Y EQUIPO</t>
  </si>
  <si>
    <t>VIDA ÚTIL</t>
  </si>
  <si>
    <t>VALOR DEL BIEN</t>
  </si>
  <si>
    <t>DEPRECIACIÓN MENSUAL</t>
  </si>
  <si>
    <t>maquinaria y equipo</t>
  </si>
  <si>
    <t>equipo de oficina</t>
  </si>
  <si>
    <t>equipo de comunicación y computacion</t>
  </si>
  <si>
    <t>RELACION DE COSTOS FIJOS Y GASTOS ADTIVOS</t>
  </si>
  <si>
    <t>COSTOS FIJOS</t>
  </si>
  <si>
    <t>GASTOS ADTIVOS</t>
  </si>
  <si>
    <t>Salario de nomina operativa</t>
  </si>
  <si>
    <t>servicios publicos generales</t>
  </si>
  <si>
    <t>apropiaciones de nomina operativa</t>
  </si>
  <si>
    <t>salario de nomina administrativa</t>
  </si>
  <si>
    <t>provisiones de nomina operativa</t>
  </si>
  <si>
    <t>apropiaciones de nomina administrativa</t>
  </si>
  <si>
    <t>provisiones de nomina administrativa</t>
  </si>
  <si>
    <t>Arrendamiento</t>
  </si>
  <si>
    <t>TOTAL COSTOS FIJOS</t>
  </si>
  <si>
    <t>TOTAL GASTOS ADTIVOS</t>
  </si>
  <si>
    <t>TOTAL COSTOS FIJOS + GASTOS ADTIVOS</t>
  </si>
  <si>
    <t>PUNTO DE EQUILIBRIO</t>
  </si>
  <si>
    <t>TANTO POR CIENTO DE  MARGEN DE CONTRIBUCIÓN</t>
  </si>
  <si>
    <t>PUNTO DE EQUILIBRIO  =    $</t>
  </si>
  <si>
    <r>
      <t xml:space="preserve">PUNTO DE EQUILIBRIO </t>
    </r>
    <r>
      <rPr>
        <b/>
        <sz val="12"/>
        <color theme="1"/>
        <rFont val="Calibri"/>
        <family val="2"/>
        <scheme val="minor"/>
      </rPr>
      <t>unidades 1</t>
    </r>
  </si>
  <si>
    <r>
      <t xml:space="preserve">PUNTO DE EQUILIBRIO </t>
    </r>
    <r>
      <rPr>
        <b/>
        <sz val="12"/>
        <color theme="1"/>
        <rFont val="Calibri"/>
        <family val="2"/>
        <scheme val="minor"/>
      </rPr>
      <t>unidades 2</t>
    </r>
  </si>
  <si>
    <r>
      <t xml:space="preserve">PUNTO DE EQUILIBRIO </t>
    </r>
    <r>
      <rPr>
        <b/>
        <sz val="12"/>
        <color theme="1"/>
        <rFont val="Calibri"/>
        <family val="2"/>
        <scheme val="minor"/>
      </rPr>
      <t>unidades 3</t>
    </r>
  </si>
  <si>
    <t>total</t>
  </si>
  <si>
    <t>BALANCE GENERAL INICIAL O BALANCE 0</t>
  </si>
  <si>
    <t>FECHA 01 de octubre de 2016</t>
  </si>
  <si>
    <t>ACTIVOS</t>
  </si>
  <si>
    <t>DISPONIBLE</t>
  </si>
  <si>
    <t>CAJA</t>
  </si>
  <si>
    <t>BANCOS</t>
  </si>
  <si>
    <t>DEUDORES</t>
  </si>
  <si>
    <t>CLIENTES</t>
  </si>
  <si>
    <t xml:space="preserve">INVENTARIOS </t>
  </si>
  <si>
    <t>MATERIA PRIMA</t>
  </si>
  <si>
    <t>MERCANCIAS NO FABRICADAS POR LA EMPRESA</t>
  </si>
  <si>
    <t>EQUIPO DE COMPUTACIÓN Y COMUNICACIÓN</t>
  </si>
  <si>
    <t>EQUIPO DE HOTELES Y RESTAURANTES</t>
  </si>
  <si>
    <t>FLOTA Y EQUIPO DE TRANSPORTE</t>
  </si>
  <si>
    <t>TOTAL ACTIVOS</t>
  </si>
  <si>
    <t>PASIVOS</t>
  </si>
  <si>
    <t>OBLIGACIONES FINANCIERAS</t>
  </si>
  <si>
    <t>BANCOS NACIONALES</t>
  </si>
  <si>
    <t>PROVEEDORES</t>
  </si>
  <si>
    <t>NACIONALES</t>
  </si>
  <si>
    <t>TOTAL PASIVOS</t>
  </si>
  <si>
    <t>PATRIMONIO</t>
  </si>
  <si>
    <t>CAPITAL SOCIAL</t>
  </si>
  <si>
    <t>APORTE SOCIAL</t>
  </si>
  <si>
    <t>TOTAL PATRIMONIO</t>
  </si>
  <si>
    <t>TOTAL PASIVO + PATRIMONIO</t>
  </si>
  <si>
    <t>UTLICE LAS CUENTAS SEGÚN LOS MOVIMIENTOs MENSUALES</t>
  </si>
  <si>
    <t>BALANCE GENERAL O DE MOVIMIENTO MENSUAL</t>
  </si>
  <si>
    <t>FECHA 31  de octubre 2017</t>
  </si>
  <si>
    <t>IMPUESTOS BANCOS</t>
  </si>
  <si>
    <t>IMPUESTOS GRAVAMENES Y TASAS</t>
  </si>
  <si>
    <t>HIPOCONSUMO</t>
  </si>
  <si>
    <t>FLUJO DE CAJA</t>
  </si>
  <si>
    <t>AÑO 0</t>
  </si>
  <si>
    <t>AÑO 2016</t>
  </si>
  <si>
    <t>AÑO 2017</t>
  </si>
  <si>
    <t>AÑO 2018</t>
  </si>
  <si>
    <t>AÑO 2019</t>
  </si>
  <si>
    <t>AÑO 2020</t>
  </si>
  <si>
    <t>INGRESOS POR VENTAS</t>
  </si>
  <si>
    <t>VENTAS</t>
  </si>
  <si>
    <t>IMPUESTOS:</t>
  </si>
  <si>
    <t>COSTOS VARIABLES VARIABLES</t>
  </si>
  <si>
    <t xml:space="preserve">año 1: </t>
  </si>
  <si>
    <t>COSTOS  FIJOS</t>
  </si>
  <si>
    <t>año 2:</t>
  </si>
  <si>
    <t>DEPRECIACION</t>
  </si>
  <si>
    <t xml:space="preserve">año 3: </t>
  </si>
  <si>
    <t xml:space="preserve">INTERESES POR PRESTAMOS </t>
  </si>
  <si>
    <t xml:space="preserve">año 4: </t>
  </si>
  <si>
    <t>UTILIDAD ANTES DE IMPUESTOS</t>
  </si>
  <si>
    <t>año 5:</t>
  </si>
  <si>
    <t>IMPUESTOS</t>
  </si>
  <si>
    <t>UTILIDAD DESPUES DE IMPUESTOS</t>
  </si>
  <si>
    <t>COSTOS VARIABLES</t>
  </si>
  <si>
    <t>año 1:</t>
  </si>
  <si>
    <t>INVERSIONES INICIALES</t>
  </si>
  <si>
    <t>VALOR RESIDUAL</t>
  </si>
  <si>
    <t>año 3:</t>
  </si>
  <si>
    <t>RECUPERACION C.T</t>
  </si>
  <si>
    <t>PRESTAMOS</t>
  </si>
  <si>
    <t>AMORTIZACION CAPITAL</t>
  </si>
  <si>
    <t>FLUJO DE CAJA OPERACIONAL</t>
  </si>
  <si>
    <t>COSTOS FIJOS:</t>
  </si>
  <si>
    <t>FLUJO DE CAJA DESCONTADO</t>
  </si>
  <si>
    <t>V.P FLUJO DE CAJA DESCONTADO</t>
  </si>
  <si>
    <t>1.VALOR PRESENTE NETO</t>
  </si>
  <si>
    <t>2.TASA INTERNA DE RETORNO</t>
  </si>
  <si>
    <t>3.RELACION BENEFICIO/COSTO</t>
  </si>
  <si>
    <t>4.TIEMPO DE RECUPERACION INVER</t>
  </si>
  <si>
    <t xml:space="preserve">TASA: </t>
  </si>
  <si>
    <t>ESTADO DE GANANCIAS O PERDIDAS  EMPRESA</t>
  </si>
  <si>
    <t>FECHA  01 DE OCTUBRE 2016</t>
  </si>
  <si>
    <t>4. INGRESOS</t>
  </si>
  <si>
    <t>41. INGRESOS OPERACIONALES</t>
  </si>
  <si>
    <t>4140. HOTELES Y RESTAURANTES</t>
  </si>
  <si>
    <t>42. INGRESOS NO OPERACIONALES</t>
  </si>
  <si>
    <t>4210. FINANCIEROS</t>
  </si>
  <si>
    <t>4220. ARRENDAMIENTOS</t>
  </si>
  <si>
    <t>TOTAL INGRESOS</t>
  </si>
  <si>
    <t>6. COSTO DE VENTAS</t>
  </si>
  <si>
    <t>TOTAL COSTO DE VENTAS</t>
  </si>
  <si>
    <t>GANANCIA BRUTA</t>
  </si>
  <si>
    <t>5. EGRESOS O GASTOS</t>
  </si>
  <si>
    <t>51. OPERACIONALES DE ADMINISTRACION</t>
  </si>
  <si>
    <t>5105. GASTOS DE PERSONAL</t>
  </si>
  <si>
    <t>5120. ARRENDAMIENTOS</t>
  </si>
  <si>
    <t>5135 SERVICIOS</t>
  </si>
  <si>
    <t>5140 GASTOS LEGALES</t>
  </si>
  <si>
    <t>5145 MANTENIMIENTO Y REPARACIONES</t>
  </si>
  <si>
    <t>5160 DEPRECIACIONES</t>
  </si>
  <si>
    <t>5195 DIVEROS</t>
  </si>
  <si>
    <t>52 OPERACIONALE DE VENTAS</t>
  </si>
  <si>
    <t>53. NO OPERACIONALES</t>
  </si>
  <si>
    <t>5305 FINANCIEROS</t>
  </si>
  <si>
    <t>5395 DIVERSOS</t>
  </si>
  <si>
    <t>TOTAL GASTOS</t>
  </si>
  <si>
    <t>UTILIDAD ANTES DE IMPUESTO</t>
  </si>
  <si>
    <t>IMPUESTO</t>
  </si>
  <si>
    <t>GANANCIA 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</si>
</sst>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-* #,##0.00_-;\-* #,##0.00_-;_-* &quot;-&quot;??_-;_-@_-"/>
    <numFmt numFmtId="164" formatCode="&quot;$&quot;#,##0;[Red]\-&quot;$&quot;#,##0"/>
    <numFmt numFmtId="165" formatCode="_-&quot;$&quot;* #,##0.00_-;\-&quot;$&quot;* #,##0.00_-;_-&quot;$&quot;* &quot;-&quot;??_-;_-@_-"/>
    <numFmt numFmtId="166" formatCode="_(&quot;$&quot;\ * #,##0.00_);_(&quot;$&quot;\ * \(#,##0.00\);_(&quot;$&quot;\ * &quot;-&quot;??_);_(@_)"/>
    <numFmt numFmtId="167" formatCode="0.0%"/>
    <numFmt numFmtId="168" formatCode="_-&quot;$&quot;* #,##0_-;\-&quot;$&quot;* #,##0_-;_-&quot;$&quot;* &quot;-&quot;??_-;_-@_-"/>
    <numFmt numFmtId="169" formatCode="_(&quot;$&quot;\ * #,##0_);_(&quot;$&quot;\ * \(#,##0\);_(&quot;$&quot;\ * &quot;-&quot;??_);_(@_)"/>
    <numFmt numFmtId="170" formatCode="_(* #,##0.00_);_(* \(#,##0.00\);_(* &quot;-&quot;??_);_(@_)"/>
    <numFmt numFmtId="171" formatCode="_(* #,##0_);_(* \(#,##0\);_(* &quot;-&quot;??_);_(@_)"/>
    <numFmt numFmtId="172" formatCode="&quot;$&quot;#,##0.00_);[Red]\(&quot;$&quot;#,##0.00\)"/>
    <numFmt numFmtId="173" formatCode="_(&quot;$&quot;* #,##0.00000000_);_(&quot;$&quot;* \(#,##0.00000000\);_(&quot;$&quot;* &quot;-&quot;??_);_(@_)"/>
  </numFmts>
  <fonts count="54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color theme="1"/>
      <name val="Arial Narrow"/>
      <family val="2"/>
    </font>
    <font>
      <b/>
      <sz val="8"/>
      <color theme="1"/>
      <name val="Arial Narrow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8"/>
      <color rgb="FFFF0000"/>
      <name val="Arial Narrow"/>
      <family val="2"/>
    </font>
    <font>
      <b/>
      <sz val="8"/>
      <color rgb="FF0070C0"/>
      <name val="Arial Narrow"/>
      <family val="2"/>
    </font>
    <font>
      <sz val="11"/>
      <color rgb="FF0070C0"/>
      <name val="Calibri"/>
      <family val="2"/>
      <scheme val="minor"/>
    </font>
    <font>
      <b/>
      <sz val="8"/>
      <color rgb="FF002060"/>
      <name val="Arial Narrow"/>
      <family val="2"/>
    </font>
    <font>
      <sz val="8"/>
      <color rgb="FF0070C0"/>
      <name val="Arial Narrow"/>
      <family val="2"/>
    </font>
    <font>
      <sz val="14"/>
      <color rgb="FF002060"/>
      <name val="Arial Narrow"/>
      <family val="2"/>
    </font>
    <font>
      <sz val="8"/>
      <color rgb="FF002060"/>
      <name val="Arial Narrow"/>
      <family val="2"/>
    </font>
    <font>
      <b/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3" tint="0.79998168889431442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9" tint="-0.499984740745262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9"/>
      <color indexed="81"/>
      <name val="Calibri"/>
      <family val="2"/>
    </font>
    <font>
      <b/>
      <sz val="18"/>
      <color theme="1"/>
      <name val="Calibri"/>
      <scheme val="minor"/>
    </font>
    <font>
      <sz val="9"/>
      <color indexed="81"/>
      <name val="Calibri"/>
      <family val="2"/>
    </font>
    <font>
      <b/>
      <sz val="12"/>
      <color theme="0"/>
      <name val="Calibri"/>
      <family val="2"/>
      <scheme val="minor"/>
    </font>
    <font>
      <sz val="12"/>
      <name val="Calibri"/>
      <scheme val="minor"/>
    </font>
    <font>
      <b/>
      <sz val="12"/>
      <color indexed="81"/>
      <name val="Calibri"/>
    </font>
    <font>
      <b/>
      <sz val="11"/>
      <name val="Calibri"/>
      <scheme val="minor"/>
    </font>
    <font>
      <sz val="11"/>
      <color theme="5"/>
      <name val="Calibri"/>
      <scheme val="minor"/>
    </font>
    <font>
      <u/>
      <sz val="11"/>
      <color theme="10"/>
      <name val="Calibri"/>
      <family val="2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8"/>
      <name val="Arial"/>
      <family val="2"/>
    </font>
    <font>
      <sz val="16"/>
      <name val="Arial"/>
      <family val="2"/>
    </font>
    <font>
      <b/>
      <sz val="12"/>
      <name val="Arial"/>
    </font>
    <font>
      <sz val="10"/>
      <name val="Arial"/>
    </font>
    <font>
      <b/>
      <sz val="12"/>
      <name val="Arial"/>
      <family val="2"/>
    </font>
    <font>
      <sz val="12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1"/>
      <color theme="7" tint="-0.249977111117893"/>
      <name val="Calibri"/>
      <family val="2"/>
      <scheme val="minor"/>
    </font>
    <font>
      <sz val="20"/>
      <color theme="7" tint="-0.249977111117893"/>
      <name val="Calibri"/>
      <family val="2"/>
      <scheme val="minor"/>
    </font>
    <font>
      <sz val="11"/>
      <color theme="7" tint="-0.249977111117893"/>
      <name val="Calibri"/>
      <family val="2"/>
      <scheme val="minor"/>
    </font>
    <font>
      <b/>
      <sz val="8"/>
      <color theme="7" tint="-0.249977111117893"/>
      <name val="Arial Narrow"/>
      <family val="2"/>
    </font>
  </fonts>
  <fills count="18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-0.249977111117893"/>
        <bgColor indexed="64"/>
      </patternFill>
    </fill>
  </fills>
  <borders count="8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medium">
        <color theme="3" tint="-0.249977111117893"/>
      </left>
      <right/>
      <top style="medium">
        <color theme="3" tint="-0.249977111117893"/>
      </top>
      <bottom/>
      <diagonal/>
    </border>
    <border>
      <left/>
      <right/>
      <top style="medium">
        <color theme="3" tint="-0.249977111117893"/>
      </top>
      <bottom/>
      <diagonal/>
    </border>
    <border>
      <left/>
      <right style="medium">
        <color theme="3" tint="-0.249977111117893"/>
      </right>
      <top style="medium">
        <color theme="3" tint="-0.249977111117893"/>
      </top>
      <bottom/>
      <diagonal/>
    </border>
    <border>
      <left style="medium">
        <color theme="3" tint="-0.249977111117893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theme="3" tint="-0.249977111117893"/>
      </right>
      <top style="thin">
        <color auto="1"/>
      </top>
      <bottom style="thin">
        <color auto="1"/>
      </bottom>
      <diagonal/>
    </border>
    <border>
      <left style="medium">
        <color theme="3" tint="-0.249977111117893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theme="3" tint="-0.249977111117893"/>
      </right>
      <top/>
      <bottom style="thin">
        <color auto="1"/>
      </bottom>
      <diagonal/>
    </border>
    <border>
      <left style="thin">
        <color auto="1"/>
      </left>
      <right style="medium">
        <color theme="3" tint="-0.249977111117893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theme="3" tint="-0.249977111117893"/>
      </bottom>
      <diagonal/>
    </border>
    <border>
      <left style="medium">
        <color theme="3" tint="-0.249977111117893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theme="3" tint="-0.249977111117893"/>
      </bottom>
      <diagonal/>
    </border>
    <border>
      <left style="thin">
        <color auto="1"/>
      </left>
      <right style="thin">
        <color theme="3" tint="-0.249977111117893"/>
      </right>
      <top style="thin">
        <color theme="3" tint="-0.249977111117893"/>
      </top>
      <bottom style="thin">
        <color theme="3" tint="-0.249977111117893"/>
      </bottom>
      <diagonal/>
    </border>
    <border>
      <left style="thin">
        <color theme="3" tint="-0.249977111117893"/>
      </left>
      <right/>
      <top style="thin">
        <color theme="3" tint="-0.249977111117893"/>
      </top>
      <bottom style="thin">
        <color theme="3" tint="-0.249977111117893"/>
      </bottom>
      <diagonal/>
    </border>
    <border>
      <left/>
      <right/>
      <top style="thin">
        <color theme="3" tint="-0.249977111117893"/>
      </top>
      <bottom style="thin">
        <color theme="3" tint="-0.249977111117893"/>
      </bottom>
      <diagonal/>
    </border>
    <border>
      <left style="thin">
        <color auto="1"/>
      </left>
      <right/>
      <top style="thin">
        <color auto="1"/>
      </top>
      <bottom style="thin">
        <color theme="3" tint="-0.249977111117893"/>
      </bottom>
      <diagonal/>
    </border>
    <border>
      <left/>
      <right/>
      <top style="thin">
        <color auto="1"/>
      </top>
      <bottom style="thin">
        <color theme="3" tint="-0.249977111117893"/>
      </bottom>
      <diagonal/>
    </border>
    <border>
      <left style="medium">
        <color theme="3" tint="-0.249977111117893"/>
      </left>
      <right/>
      <top/>
      <bottom/>
      <diagonal/>
    </border>
    <border>
      <left/>
      <right style="medium">
        <color theme="3" tint="-0.249977111117893"/>
      </right>
      <top/>
      <bottom/>
      <diagonal/>
    </border>
    <border>
      <left style="medium">
        <color theme="3" tint="-0.249977111117893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theme="3" tint="-0.249977111117893"/>
      </right>
      <top/>
      <bottom/>
      <diagonal/>
    </border>
    <border>
      <left style="medium">
        <color theme="3" tint="-0.249977111117893"/>
      </left>
      <right style="thin">
        <color auto="1"/>
      </right>
      <top style="thin">
        <color auto="1"/>
      </top>
      <bottom style="medium">
        <color theme="3" tint="-0.249977111117893"/>
      </bottom>
      <diagonal/>
    </border>
    <border>
      <left/>
      <right/>
      <top/>
      <bottom style="medium">
        <color theme="3" tint="-0.249977111117893"/>
      </bottom>
      <diagonal/>
    </border>
    <border>
      <left/>
      <right style="medium">
        <color theme="3" tint="-0.249977111117893"/>
      </right>
      <top/>
      <bottom style="medium">
        <color theme="3" tint="-0.249977111117893"/>
      </bottom>
      <diagonal/>
    </border>
    <border>
      <left style="medium">
        <color theme="3" tint="-0.249977111117893"/>
      </left>
      <right style="medium">
        <color theme="3" tint="-0.249977111117893"/>
      </right>
      <top style="medium">
        <color theme="3" tint="-0.249977111117893"/>
      </top>
      <bottom style="medium">
        <color theme="3" tint="-0.249977111117893"/>
      </bottom>
      <diagonal/>
    </border>
    <border>
      <left style="medium">
        <color theme="3" tint="-0.249977111117893"/>
      </left>
      <right/>
      <top/>
      <bottom style="medium">
        <color theme="3" tint="-0.249977111117893"/>
      </bottom>
      <diagonal/>
    </border>
    <border>
      <left style="medium">
        <color theme="3" tint="-0.249977111117893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auto="1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auto="1"/>
      </left>
      <right/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theme="3" tint="-0.249977111117893"/>
      </left>
      <right style="medium">
        <color theme="3" tint="-0.249977111117893"/>
      </right>
      <top/>
      <bottom style="medium">
        <color theme="3" tint="-0.249977111117893"/>
      </bottom>
      <diagonal/>
    </border>
    <border>
      <left style="medium">
        <color theme="3" tint="-0.249977111117893"/>
      </left>
      <right style="medium">
        <color theme="3" tint="-0.249977111117893"/>
      </right>
      <top style="medium">
        <color theme="3" tint="-0.249977111117893"/>
      </top>
      <bottom/>
      <diagonal/>
    </border>
    <border>
      <left/>
      <right/>
      <top style="medium">
        <color theme="3" tint="-0.249977111117893"/>
      </top>
      <bottom style="medium">
        <color theme="3" tint="-0.249977111117893"/>
      </bottom>
      <diagonal/>
    </border>
    <border>
      <left/>
      <right style="medium">
        <color theme="3" tint="-0.249977111117893"/>
      </right>
      <top style="medium">
        <color theme="3" tint="-0.249977111117893"/>
      </top>
      <bottom style="medium">
        <color theme="3" tint="-0.249977111117893"/>
      </bottom>
      <diagonal/>
    </border>
    <border>
      <left style="thin">
        <color auto="1"/>
      </left>
      <right style="thin">
        <color auto="1"/>
      </right>
      <top style="thin">
        <color theme="3" tint="-0.249977111117893"/>
      </top>
      <bottom style="thin">
        <color theme="3" tint="-0.249977111117893"/>
      </bottom>
      <diagonal/>
    </border>
    <border>
      <left style="thin">
        <color auto="1"/>
      </left>
      <right/>
      <top style="medium">
        <color theme="3" tint="-0.249977111117893"/>
      </top>
      <bottom style="medium">
        <color theme="3" tint="-0.249977111117893"/>
      </bottom>
      <diagonal/>
    </border>
    <border>
      <left style="medium">
        <color auto="1"/>
      </left>
      <right/>
      <top style="medium">
        <color theme="3" tint="-0.249977111117893"/>
      </top>
      <bottom style="medium">
        <color theme="3" tint="-0.249977111117893"/>
      </bottom>
      <diagonal/>
    </border>
    <border>
      <left style="medium">
        <color auto="1"/>
      </left>
      <right/>
      <top style="thin">
        <color indexed="64"/>
      </top>
      <bottom style="medium">
        <color auto="1"/>
      </bottom>
      <diagonal/>
    </border>
    <border>
      <left/>
      <right/>
      <top style="thin">
        <color indexed="64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</borders>
  <cellStyleXfs count="60">
    <xf numFmtId="0" fontId="0" fillId="0" borderId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9" fontId="23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165" fontId="23" fillId="0" borderId="0" applyFont="0" applyFill="0" applyBorder="0" applyAlignment="0" applyProtection="0"/>
    <xf numFmtId="0" fontId="35" fillId="0" borderId="0" applyNumberFormat="0" applyFill="0" applyBorder="0" applyAlignment="0" applyProtection="0">
      <alignment vertical="top"/>
      <protection locked="0"/>
    </xf>
    <xf numFmtId="43" fontId="23" fillId="0" borderId="0" applyFont="0" applyFill="0" applyBorder="0" applyAlignment="0" applyProtection="0"/>
    <xf numFmtId="170" fontId="42" fillId="0" borderId="0" applyFont="0" applyFill="0" applyBorder="0" applyAlignment="0">
      <protection hidden="1"/>
    </xf>
  </cellStyleXfs>
  <cellXfs count="378">
    <xf numFmtId="0" fontId="0" fillId="0" borderId="0" xfId="0"/>
    <xf numFmtId="0" fontId="0" fillId="0" borderId="1" xfId="0" applyBorder="1"/>
    <xf numFmtId="0" fontId="3" fillId="0" borderId="9" xfId="0" applyFont="1" applyBorder="1"/>
    <xf numFmtId="0" fontId="3" fillId="0" borderId="1" xfId="0" applyFont="1" applyBorder="1"/>
    <xf numFmtId="0" fontId="3" fillId="0" borderId="10" xfId="0" applyFont="1" applyBorder="1"/>
    <xf numFmtId="0" fontId="3" fillId="0" borderId="1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2" xfId="0" applyFont="1" applyBorder="1"/>
    <xf numFmtId="0" fontId="3" fillId="0" borderId="2" xfId="0" applyFont="1" applyBorder="1"/>
    <xf numFmtId="0" fontId="3" fillId="0" borderId="13" xfId="0" applyFont="1" applyBorder="1"/>
    <xf numFmtId="0" fontId="3" fillId="0" borderId="14" xfId="0" applyFont="1" applyBorder="1"/>
    <xf numFmtId="0" fontId="3" fillId="0" borderId="15" xfId="0" applyFont="1" applyBorder="1"/>
    <xf numFmtId="0" fontId="3" fillId="0" borderId="16" xfId="0" applyFont="1" applyBorder="1"/>
    <xf numFmtId="0" fontId="3" fillId="0" borderId="20" xfId="0" applyFont="1" applyBorder="1"/>
    <xf numFmtId="0" fontId="3" fillId="0" borderId="21" xfId="0" applyFont="1" applyBorder="1"/>
    <xf numFmtId="0" fontId="3" fillId="0" borderId="11" xfId="0" applyFont="1" applyBorder="1"/>
    <xf numFmtId="0" fontId="3" fillId="0" borderId="0" xfId="0" applyFont="1"/>
    <xf numFmtId="0" fontId="3" fillId="0" borderId="23" xfId="0" applyFont="1" applyBorder="1"/>
    <xf numFmtId="0" fontId="3" fillId="0" borderId="24" xfId="0" applyFont="1" applyBorder="1"/>
    <xf numFmtId="0" fontId="3" fillId="0" borderId="26" xfId="0" applyFont="1" applyBorder="1"/>
    <xf numFmtId="0" fontId="9" fillId="0" borderId="0" xfId="0" applyFont="1"/>
    <xf numFmtId="0" fontId="4" fillId="0" borderId="0" xfId="0" applyFont="1"/>
    <xf numFmtId="0" fontId="7" fillId="0" borderId="0" xfId="0" applyFont="1" applyAlignment="1">
      <alignment horizontal="center"/>
    </xf>
    <xf numFmtId="0" fontId="3" fillId="0" borderId="33" xfId="0" applyFont="1" applyBorder="1"/>
    <xf numFmtId="0" fontId="3" fillId="0" borderId="34" xfId="0" applyFont="1" applyBorder="1"/>
    <xf numFmtId="0" fontId="3" fillId="0" borderId="35" xfId="0" applyFont="1" applyBorder="1"/>
    <xf numFmtId="0" fontId="3" fillId="0" borderId="36" xfId="0" applyFont="1" applyBorder="1"/>
    <xf numFmtId="0" fontId="11" fillId="0" borderId="0" xfId="0" applyFont="1"/>
    <xf numFmtId="0" fontId="4" fillId="0" borderId="38" xfId="0" applyFont="1" applyBorder="1"/>
    <xf numFmtId="0" fontId="3" fillId="0" borderId="42" xfId="0" applyFont="1" applyBorder="1"/>
    <xf numFmtId="0" fontId="3" fillId="0" borderId="40" xfId="0" applyFont="1" applyBorder="1"/>
    <xf numFmtId="0" fontId="13" fillId="0" borderId="40" xfId="0" applyFont="1" applyBorder="1" applyAlignment="1">
      <alignment horizontal="center" vertical="center" textRotation="255" wrapText="1"/>
    </xf>
    <xf numFmtId="0" fontId="14" fillId="0" borderId="1" xfId="0" applyFont="1" applyBorder="1"/>
    <xf numFmtId="0" fontId="0" fillId="3" borderId="1" xfId="0" applyFill="1" applyBorder="1"/>
    <xf numFmtId="0" fontId="0" fillId="2" borderId="1" xfId="0" applyFill="1" applyBorder="1"/>
    <xf numFmtId="0" fontId="0" fillId="0" borderId="45" xfId="0" applyBorder="1"/>
    <xf numFmtId="0" fontId="0" fillId="0" borderId="49" xfId="0" applyBorder="1"/>
    <xf numFmtId="0" fontId="0" fillId="0" borderId="0" xfId="0" applyAlignment="1">
      <alignment horizontal="center"/>
    </xf>
    <xf numFmtId="0" fontId="0" fillId="0" borderId="52" xfId="0" applyBorder="1"/>
    <xf numFmtId="0" fontId="14" fillId="0" borderId="0" xfId="0" applyFont="1" applyAlignment="1">
      <alignment horizontal="center"/>
    </xf>
    <xf numFmtId="0" fontId="0" fillId="0" borderId="60" xfId="0" applyBorder="1"/>
    <xf numFmtId="0" fontId="14" fillId="0" borderId="49" xfId="0" applyFont="1" applyBorder="1" applyAlignment="1">
      <alignment horizontal="right"/>
    </xf>
    <xf numFmtId="0" fontId="14" fillId="0" borderId="0" xfId="0" applyFont="1" applyAlignment="1">
      <alignment horizontal="left"/>
    </xf>
    <xf numFmtId="0" fontId="0" fillId="0" borderId="0" xfId="0" applyAlignment="1">
      <alignment horizontal="left"/>
    </xf>
    <xf numFmtId="0" fontId="14" fillId="0" borderId="0" xfId="0" applyFont="1"/>
    <xf numFmtId="0" fontId="14" fillId="0" borderId="61" xfId="0" applyFont="1" applyBorder="1" applyAlignment="1">
      <alignment horizontal="right"/>
    </xf>
    <xf numFmtId="0" fontId="0" fillId="0" borderId="62" xfId="0" applyBorder="1"/>
    <xf numFmtId="0" fontId="0" fillId="0" borderId="63" xfId="0" applyBorder="1"/>
    <xf numFmtId="0" fontId="18" fillId="0" borderId="49" xfId="0" applyFont="1" applyBorder="1"/>
    <xf numFmtId="0" fontId="19" fillId="0" borderId="49" xfId="0" applyFont="1" applyBorder="1"/>
    <xf numFmtId="0" fontId="18" fillId="0" borderId="49" xfId="0" applyFont="1" applyBorder="1" applyAlignment="1">
      <alignment horizontal="center"/>
    </xf>
    <xf numFmtId="0" fontId="0" fillId="0" borderId="60" xfId="0" applyBorder="1" applyAlignment="1">
      <alignment horizontal="center"/>
    </xf>
    <xf numFmtId="0" fontId="19" fillId="0" borderId="49" xfId="0" applyFont="1" applyBorder="1" applyAlignment="1">
      <alignment horizontal="left"/>
    </xf>
    <xf numFmtId="0" fontId="19" fillId="0" borderId="0" xfId="0" applyFont="1"/>
    <xf numFmtId="0" fontId="20" fillId="0" borderId="0" xfId="0" applyFont="1" applyAlignment="1">
      <alignment horizontal="left"/>
    </xf>
    <xf numFmtId="0" fontId="20" fillId="0" borderId="0" xfId="0" applyFont="1"/>
    <xf numFmtId="0" fontId="0" fillId="0" borderId="64" xfId="0" applyBorder="1"/>
    <xf numFmtId="0" fontId="3" fillId="0" borderId="8" xfId="0" applyFont="1" applyBorder="1"/>
    <xf numFmtId="0" fontId="0" fillId="0" borderId="0" xfId="0" applyAlignment="1">
      <alignment horizontal="center" vertical="center"/>
    </xf>
    <xf numFmtId="0" fontId="3" fillId="0" borderId="69" xfId="0" applyFont="1" applyBorder="1"/>
    <xf numFmtId="0" fontId="22" fillId="0" borderId="1" xfId="0" applyFont="1" applyBorder="1"/>
    <xf numFmtId="0" fontId="1" fillId="0" borderId="1" xfId="0" applyFont="1" applyBorder="1"/>
    <xf numFmtId="0" fontId="24" fillId="0" borderId="0" xfId="0" applyFont="1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53" xfId="0" applyFont="1" applyBorder="1"/>
    <xf numFmtId="0" fontId="31" fillId="0" borderId="1" xfId="0" applyFont="1" applyBorder="1"/>
    <xf numFmtId="0" fontId="24" fillId="5" borderId="1" xfId="0" applyFont="1" applyFill="1" applyBorder="1"/>
    <xf numFmtId="0" fontId="0" fillId="0" borderId="11" xfId="0" applyBorder="1"/>
    <xf numFmtId="0" fontId="33" fillId="0" borderId="0" xfId="0" applyFont="1" applyAlignment="1">
      <alignment horizontal="left"/>
    </xf>
    <xf numFmtId="0" fontId="34" fillId="0" borderId="0" xfId="0" applyFont="1" applyAlignment="1">
      <alignment horizontal="left"/>
    </xf>
    <xf numFmtId="0" fontId="14" fillId="0" borderId="0" xfId="0" applyFont="1" applyAlignment="1">
      <alignment horizontal="right"/>
    </xf>
    <xf numFmtId="168" fontId="0" fillId="0" borderId="1" xfId="56" applyNumberFormat="1" applyFont="1" applyBorder="1"/>
    <xf numFmtId="168" fontId="0" fillId="0" borderId="46" xfId="56" applyNumberFormat="1" applyFont="1" applyBorder="1"/>
    <xf numFmtId="168" fontId="0" fillId="0" borderId="46" xfId="0" applyNumberFormat="1" applyBorder="1"/>
    <xf numFmtId="168" fontId="0" fillId="8" borderId="1" xfId="0" applyNumberFormat="1" applyFill="1" applyBorder="1"/>
    <xf numFmtId="168" fontId="0" fillId="0" borderId="1" xfId="0" applyNumberFormat="1" applyBorder="1"/>
    <xf numFmtId="164" fontId="3" fillId="0" borderId="9" xfId="0" applyNumberFormat="1" applyFont="1" applyBorder="1"/>
    <xf numFmtId="168" fontId="3" fillId="0" borderId="20" xfId="56" applyNumberFormat="1" applyFont="1" applyBorder="1"/>
    <xf numFmtId="168" fontId="3" fillId="0" borderId="9" xfId="56" applyNumberFormat="1" applyFont="1" applyBorder="1"/>
    <xf numFmtId="168" fontId="3" fillId="0" borderId="11" xfId="0" applyNumberFormat="1" applyFont="1" applyBorder="1"/>
    <xf numFmtId="168" fontId="3" fillId="0" borderId="13" xfId="0" applyNumberFormat="1" applyFont="1" applyBorder="1"/>
    <xf numFmtId="168" fontId="3" fillId="0" borderId="23" xfId="0" applyNumberFormat="1" applyFont="1" applyBorder="1"/>
    <xf numFmtId="168" fontId="3" fillId="8" borderId="40" xfId="0" applyNumberFormat="1" applyFont="1" applyFill="1" applyBorder="1"/>
    <xf numFmtId="168" fontId="4" fillId="0" borderId="9" xfId="56" applyNumberFormat="1" applyFont="1" applyBorder="1"/>
    <xf numFmtId="168" fontId="4" fillId="0" borderId="1" xfId="56" applyNumberFormat="1" applyFont="1" applyBorder="1"/>
    <xf numFmtId="168" fontId="4" fillId="0" borderId="27" xfId="56" applyNumberFormat="1" applyFont="1" applyBorder="1"/>
    <xf numFmtId="168" fontId="4" fillId="0" borderId="9" xfId="0" applyNumberFormat="1" applyFont="1" applyBorder="1"/>
    <xf numFmtId="168" fontId="4" fillId="0" borderId="1" xfId="0" applyNumberFormat="1" applyFont="1" applyBorder="1"/>
    <xf numFmtId="168" fontId="4" fillId="0" borderId="10" xfId="56" applyNumberFormat="1" applyFont="1" applyBorder="1"/>
    <xf numFmtId="168" fontId="3" fillId="0" borderId="40" xfId="0" applyNumberFormat="1" applyFont="1" applyBorder="1"/>
    <xf numFmtId="164" fontId="3" fillId="0" borderId="40" xfId="0" applyNumberFormat="1" applyFont="1" applyBorder="1"/>
    <xf numFmtId="164" fontId="3" fillId="0" borderId="1" xfId="0" applyNumberFormat="1" applyFont="1" applyBorder="1"/>
    <xf numFmtId="168" fontId="3" fillId="0" borderId="1" xfId="56" applyNumberFormat="1" applyFont="1" applyBorder="1"/>
    <xf numFmtId="168" fontId="3" fillId="0" borderId="11" xfId="56" applyNumberFormat="1" applyFont="1" applyBorder="1"/>
    <xf numFmtId="168" fontId="1" fillId="0" borderId="1" xfId="56" applyNumberFormat="1" applyFont="1" applyBorder="1"/>
    <xf numFmtId="168" fontId="0" fillId="0" borderId="0" xfId="56" applyNumberFormat="1" applyFont="1" applyBorder="1" applyAlignment="1">
      <alignment horizontal="center"/>
    </xf>
    <xf numFmtId="0" fontId="35" fillId="0" borderId="1" xfId="57" applyBorder="1" applyAlignment="1" applyProtection="1"/>
    <xf numFmtId="168" fontId="0" fillId="3" borderId="1" xfId="0" applyNumberFormat="1" applyFill="1" applyBorder="1"/>
    <xf numFmtId="0" fontId="35" fillId="0" borderId="9" xfId="57" applyBorder="1" applyAlignment="1" applyProtection="1"/>
    <xf numFmtId="168" fontId="0" fillId="2" borderId="1" xfId="0" applyNumberFormat="1" applyFill="1" applyBorder="1"/>
    <xf numFmtId="165" fontId="3" fillId="0" borderId="23" xfId="56" applyFont="1" applyBorder="1"/>
    <xf numFmtId="168" fontId="3" fillId="0" borderId="23" xfId="56" applyNumberFormat="1" applyFont="1" applyBorder="1"/>
    <xf numFmtId="166" fontId="3" fillId="0" borderId="40" xfId="0" applyNumberFormat="1" applyFont="1" applyBorder="1"/>
    <xf numFmtId="169" fontId="3" fillId="0" borderId="40" xfId="0" applyNumberFormat="1" applyFont="1" applyBorder="1"/>
    <xf numFmtId="168" fontId="3" fillId="0" borderId="21" xfId="56" applyNumberFormat="1" applyFont="1" applyBorder="1"/>
    <xf numFmtId="164" fontId="0" fillId="0" borderId="0" xfId="0" applyNumberFormat="1"/>
    <xf numFmtId="10" fontId="1" fillId="0" borderId="1" xfId="0" applyNumberFormat="1" applyFont="1" applyBorder="1"/>
    <xf numFmtId="0" fontId="36" fillId="0" borderId="1" xfId="0" applyFont="1" applyBorder="1"/>
    <xf numFmtId="0" fontId="0" fillId="10" borderId="1" xfId="0" applyFill="1" applyBorder="1"/>
    <xf numFmtId="0" fontId="37" fillId="0" borderId="1" xfId="0" applyFont="1" applyBorder="1"/>
    <xf numFmtId="168" fontId="31" fillId="0" borderId="1" xfId="56" applyNumberFormat="1" applyFont="1" applyBorder="1"/>
    <xf numFmtId="0" fontId="37" fillId="0" borderId="9" xfId="0" applyFont="1" applyBorder="1"/>
    <xf numFmtId="168" fontId="37" fillId="0" borderId="9" xfId="56" applyNumberFormat="1" applyFont="1" applyBorder="1"/>
    <xf numFmtId="168" fontId="37" fillId="0" borderId="1" xfId="56" applyNumberFormat="1" applyFont="1" applyBorder="1"/>
    <xf numFmtId="168" fontId="0" fillId="0" borderId="60" xfId="56" applyNumberFormat="1" applyFont="1" applyBorder="1"/>
    <xf numFmtId="168" fontId="0" fillId="0" borderId="60" xfId="0" applyNumberFormat="1" applyBorder="1"/>
    <xf numFmtId="168" fontId="0" fillId="0" borderId="0" xfId="0" applyNumberFormat="1"/>
    <xf numFmtId="168" fontId="0" fillId="0" borderId="0" xfId="56" applyNumberFormat="1" applyFont="1" applyBorder="1"/>
    <xf numFmtId="168" fontId="3" fillId="6" borderId="40" xfId="0" applyNumberFormat="1" applyFont="1" applyFill="1" applyBorder="1"/>
    <xf numFmtId="168" fontId="4" fillId="6" borderId="25" xfId="0" applyNumberFormat="1" applyFont="1" applyFill="1" applyBorder="1"/>
    <xf numFmtId="168" fontId="4" fillId="6" borderId="28" xfId="0" applyNumberFormat="1" applyFont="1" applyFill="1" applyBorder="1"/>
    <xf numFmtId="164" fontId="3" fillId="11" borderId="40" xfId="0" applyNumberFormat="1" applyFont="1" applyFill="1" applyBorder="1"/>
    <xf numFmtId="168" fontId="4" fillId="11" borderId="25" xfId="0" applyNumberFormat="1" applyFont="1" applyFill="1" applyBorder="1"/>
    <xf numFmtId="168" fontId="4" fillId="11" borderId="28" xfId="0" applyNumberFormat="1" applyFont="1" applyFill="1" applyBorder="1"/>
    <xf numFmtId="0" fontId="3" fillId="3" borderId="9" xfId="0" applyFont="1" applyFill="1" applyBorder="1" applyAlignment="1">
      <alignment horizontal="center"/>
    </xf>
    <xf numFmtId="168" fontId="1" fillId="0" borderId="1" xfId="0" applyNumberFormat="1" applyFont="1" applyBorder="1"/>
    <xf numFmtId="168" fontId="0" fillId="10" borderId="1" xfId="56" applyNumberFormat="1" applyFont="1" applyFill="1" applyBorder="1"/>
    <xf numFmtId="1" fontId="0" fillId="15" borderId="5" xfId="0" applyNumberFormat="1" applyFill="1" applyBorder="1"/>
    <xf numFmtId="0" fontId="0" fillId="0" borderId="14" xfId="0" applyBorder="1"/>
    <xf numFmtId="0" fontId="14" fillId="16" borderId="43" xfId="0" applyFont="1" applyFill="1" applyBorder="1"/>
    <xf numFmtId="0" fontId="14" fillId="16" borderId="44" xfId="0" applyFont="1" applyFill="1" applyBorder="1"/>
    <xf numFmtId="0" fontId="14" fillId="16" borderId="75" xfId="0" applyFont="1" applyFill="1" applyBorder="1"/>
    <xf numFmtId="0" fontId="14" fillId="4" borderId="45" xfId="0" applyFont="1" applyFill="1" applyBorder="1"/>
    <xf numFmtId="0" fontId="14" fillId="16" borderId="45" xfId="0" applyFont="1" applyFill="1" applyBorder="1"/>
    <xf numFmtId="168" fontId="0" fillId="10" borderId="46" xfId="56" applyNumberFormat="1" applyFont="1" applyFill="1" applyBorder="1"/>
    <xf numFmtId="168" fontId="0" fillId="10" borderId="1" xfId="0" applyNumberFormat="1" applyFill="1" applyBorder="1"/>
    <xf numFmtId="0" fontId="14" fillId="16" borderId="76" xfId="0" applyFont="1" applyFill="1" applyBorder="1"/>
    <xf numFmtId="168" fontId="0" fillId="10" borderId="10" xfId="0" applyNumberFormat="1" applyFill="1" applyBorder="1"/>
    <xf numFmtId="168" fontId="0" fillId="0" borderId="10" xfId="56" applyNumberFormat="1" applyFont="1" applyBorder="1"/>
    <xf numFmtId="168" fontId="0" fillId="0" borderId="77" xfId="56" applyNumberFormat="1" applyFont="1" applyBorder="1"/>
    <xf numFmtId="0" fontId="14" fillId="4" borderId="78" xfId="0" applyFont="1" applyFill="1" applyBorder="1"/>
    <xf numFmtId="168" fontId="0" fillId="10" borderId="74" xfId="0" applyNumberFormat="1" applyFill="1" applyBorder="1"/>
    <xf numFmtId="0" fontId="14" fillId="4" borderId="1" xfId="0" applyFont="1" applyFill="1" applyBorder="1"/>
    <xf numFmtId="164" fontId="0" fillId="0" borderId="1" xfId="0" applyNumberFormat="1" applyBorder="1"/>
    <xf numFmtId="164" fontId="14" fillId="0" borderId="1" xfId="0" applyNumberFormat="1" applyFont="1" applyBorder="1"/>
    <xf numFmtId="167" fontId="0" fillId="0" borderId="1" xfId="0" applyNumberFormat="1" applyBorder="1"/>
    <xf numFmtId="2" fontId="0" fillId="0" borderId="1" xfId="58" applyNumberFormat="1" applyFont="1" applyBorder="1"/>
    <xf numFmtId="168" fontId="14" fillId="0" borderId="1" xfId="0" applyNumberFormat="1" applyFont="1" applyBorder="1"/>
    <xf numFmtId="0" fontId="40" fillId="0" borderId="0" xfId="0" applyFont="1" applyAlignment="1" applyProtection="1">
      <alignment horizontal="center" vertical="center" wrapText="1"/>
      <protection hidden="1"/>
    </xf>
    <xf numFmtId="0" fontId="40" fillId="0" borderId="0" xfId="0" applyFont="1" applyAlignment="1" applyProtection="1">
      <alignment horizontal="center" vertical="center" wrapText="1"/>
      <protection locked="0"/>
    </xf>
    <xf numFmtId="0" fontId="0" fillId="0" borderId="0" xfId="0" applyProtection="1">
      <protection hidden="1"/>
    </xf>
    <xf numFmtId="0" fontId="0" fillId="0" borderId="0" xfId="0" quotePrefix="1" applyProtection="1">
      <protection hidden="1"/>
    </xf>
    <xf numFmtId="170" fontId="0" fillId="0" borderId="0" xfId="58" quotePrefix="1" applyNumberFormat="1" applyFont="1" applyFill="1" applyBorder="1" applyProtection="1">
      <protection hidden="1"/>
    </xf>
    <xf numFmtId="171" fontId="42" fillId="0" borderId="0" xfId="59" applyNumberFormat="1" applyFill="1" applyBorder="1" applyProtection="1">
      <protection locked="0" hidden="1"/>
    </xf>
    <xf numFmtId="0" fontId="41" fillId="0" borderId="0" xfId="0" applyFont="1" applyProtection="1">
      <protection locked="0"/>
    </xf>
    <xf numFmtId="0" fontId="0" fillId="0" borderId="0" xfId="0" applyProtection="1">
      <protection locked="0"/>
    </xf>
    <xf numFmtId="170" fontId="0" fillId="0" borderId="0" xfId="58" applyNumberFormat="1" applyFont="1" applyFill="1" applyBorder="1" applyProtection="1">
      <protection locked="0"/>
    </xf>
    <xf numFmtId="173" fontId="23" fillId="0" borderId="0" xfId="56" applyNumberFormat="1" applyFill="1" applyBorder="1" applyProtection="1"/>
    <xf numFmtId="0" fontId="0" fillId="0" borderId="0" xfId="0" applyAlignment="1" applyProtection="1">
      <alignment horizontal="center"/>
      <protection locked="0"/>
    </xf>
    <xf numFmtId="0" fontId="45" fillId="0" borderId="1" xfId="0" applyFont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/>
      <protection hidden="1"/>
    </xf>
    <xf numFmtId="0" fontId="46" fillId="0" borderId="0" xfId="0" applyFont="1" applyAlignment="1" applyProtection="1">
      <alignment horizontal="center"/>
      <protection hidden="1"/>
    </xf>
    <xf numFmtId="171" fontId="46" fillId="0" borderId="0" xfId="59" applyNumberFormat="1" applyFont="1" applyBorder="1" applyAlignment="1">
      <alignment horizontal="center"/>
      <protection hidden="1"/>
    </xf>
    <xf numFmtId="171" fontId="46" fillId="0" borderId="0" xfId="58" applyNumberFormat="1" applyFont="1" applyBorder="1" applyAlignment="1" applyProtection="1">
      <alignment horizontal="right"/>
      <protection hidden="1"/>
    </xf>
    <xf numFmtId="171" fontId="0" fillId="0" borderId="0" xfId="0" applyNumberFormat="1" applyProtection="1">
      <protection hidden="1"/>
    </xf>
    <xf numFmtId="171" fontId="46" fillId="0" borderId="0" xfId="58" applyNumberFormat="1" applyFont="1" applyBorder="1" applyAlignment="1" applyProtection="1">
      <alignment horizontal="center"/>
      <protection hidden="1"/>
    </xf>
    <xf numFmtId="0" fontId="41" fillId="10" borderId="0" xfId="0" applyFont="1" applyFill="1" applyProtection="1">
      <protection hidden="1"/>
    </xf>
    <xf numFmtId="0" fontId="0" fillId="10" borderId="0" xfId="0" applyFill="1" applyProtection="1">
      <protection hidden="1"/>
    </xf>
    <xf numFmtId="170" fontId="0" fillId="10" borderId="0" xfId="58" applyNumberFormat="1" applyFont="1" applyFill="1" applyBorder="1" applyProtection="1">
      <protection hidden="1"/>
    </xf>
    <xf numFmtId="171" fontId="42" fillId="10" borderId="0" xfId="59" applyNumberFormat="1" applyFill="1" applyBorder="1">
      <protection hidden="1"/>
    </xf>
    <xf numFmtId="0" fontId="41" fillId="10" borderId="0" xfId="0" applyFont="1" applyFill="1" applyAlignment="1" applyProtection="1">
      <alignment horizontal="right"/>
      <protection hidden="1"/>
    </xf>
    <xf numFmtId="0" fontId="43" fillId="10" borderId="0" xfId="0" applyFont="1" applyFill="1" applyAlignment="1" applyProtection="1">
      <alignment horizontal="left"/>
      <protection hidden="1"/>
    </xf>
    <xf numFmtId="10" fontId="23" fillId="10" borderId="0" xfId="5" applyNumberFormat="1" applyFill="1" applyBorder="1" applyProtection="1">
      <protection hidden="1"/>
    </xf>
    <xf numFmtId="0" fontId="43" fillId="10" borderId="0" xfId="0" applyFont="1" applyFill="1" applyProtection="1">
      <protection hidden="1"/>
    </xf>
    <xf numFmtId="0" fontId="41" fillId="10" borderId="0" xfId="0" applyFont="1" applyFill="1" applyProtection="1">
      <protection locked="0"/>
    </xf>
    <xf numFmtId="0" fontId="0" fillId="10" borderId="0" xfId="0" applyFill="1" applyProtection="1">
      <protection locked="0"/>
    </xf>
    <xf numFmtId="170" fontId="0" fillId="10" borderId="0" xfId="58" applyNumberFormat="1" applyFont="1" applyFill="1" applyBorder="1" applyProtection="1">
      <protection locked="0"/>
    </xf>
    <xf numFmtId="172" fontId="23" fillId="10" borderId="0" xfId="58" applyNumberFormat="1" applyFill="1" applyBorder="1" applyProtection="1"/>
    <xf numFmtId="173" fontId="23" fillId="10" borderId="0" xfId="56" applyNumberFormat="1" applyFill="1" applyBorder="1" applyProtection="1"/>
    <xf numFmtId="0" fontId="47" fillId="16" borderId="2" xfId="0" applyFont="1" applyFill="1" applyBorder="1" applyProtection="1">
      <protection hidden="1"/>
    </xf>
    <xf numFmtId="0" fontId="48" fillId="16" borderId="3" xfId="0" applyFont="1" applyFill="1" applyBorder="1" applyProtection="1">
      <protection hidden="1"/>
    </xf>
    <xf numFmtId="170" fontId="48" fillId="16" borderId="3" xfId="58" applyNumberFormat="1" applyFont="1" applyFill="1" applyBorder="1" applyProtection="1">
      <protection hidden="1"/>
    </xf>
    <xf numFmtId="171" fontId="49" fillId="16" borderId="79" xfId="59" applyNumberFormat="1" applyFont="1" applyFill="1" applyBorder="1" applyAlignment="1" applyProtection="1">
      <alignment horizontal="center"/>
      <protection locked="0" hidden="1"/>
    </xf>
    <xf numFmtId="171" fontId="49" fillId="16" borderId="79" xfId="59" applyNumberFormat="1" applyFont="1" applyFill="1" applyBorder="1" applyAlignment="1" applyProtection="1">
      <alignment horizontal="right"/>
      <protection locked="0" hidden="1"/>
    </xf>
    <xf numFmtId="0" fontId="48" fillId="16" borderId="3" xfId="0" applyFont="1" applyFill="1" applyBorder="1" applyAlignment="1" applyProtection="1">
      <alignment horizontal="right"/>
      <protection hidden="1"/>
    </xf>
    <xf numFmtId="170" fontId="47" fillId="16" borderId="80" xfId="58" applyNumberFormat="1" applyFont="1" applyFill="1" applyBorder="1" applyProtection="1">
      <protection hidden="1"/>
    </xf>
    <xf numFmtId="10" fontId="48" fillId="16" borderId="79" xfId="5" applyNumberFormat="1" applyFont="1" applyFill="1" applyBorder="1" applyProtection="1">
      <protection locked="0" hidden="1"/>
    </xf>
    <xf numFmtId="170" fontId="48" fillId="16" borderId="80" xfId="58" applyNumberFormat="1" applyFont="1" applyFill="1" applyBorder="1" applyProtection="1">
      <protection hidden="1"/>
    </xf>
    <xf numFmtId="171" fontId="49" fillId="16" borderId="79" xfId="59" applyNumberFormat="1" applyFont="1" applyFill="1" applyBorder="1" applyProtection="1">
      <protection locked="0" hidden="1"/>
    </xf>
    <xf numFmtId="171" fontId="0" fillId="0" borderId="0" xfId="0" applyNumberFormat="1"/>
    <xf numFmtId="171" fontId="0" fillId="0" borderId="0" xfId="0" applyNumberFormat="1" applyAlignment="1" applyProtection="1">
      <alignment horizontal="center"/>
      <protection hidden="1"/>
    </xf>
    <xf numFmtId="0" fontId="14" fillId="4" borderId="0" xfId="0" applyFont="1" applyFill="1"/>
    <xf numFmtId="9" fontId="0" fillId="0" borderId="0" xfId="0" applyNumberFormat="1"/>
    <xf numFmtId="0" fontId="0" fillId="16" borderId="1" xfId="0" applyFill="1" applyBorder="1"/>
    <xf numFmtId="0" fontId="14" fillId="4" borderId="2" xfId="0" applyFont="1" applyFill="1" applyBorder="1" applyAlignment="1">
      <alignment horizontal="right"/>
    </xf>
    <xf numFmtId="0" fontId="0" fillId="4" borderId="3" xfId="0" applyFill="1" applyBorder="1"/>
    <xf numFmtId="168" fontId="0" fillId="16" borderId="1" xfId="0" applyNumberFormat="1" applyFill="1" applyBorder="1"/>
    <xf numFmtId="0" fontId="2" fillId="12" borderId="1" xfId="0" applyFont="1" applyFill="1" applyBorder="1" applyAlignment="1">
      <alignment horizontal="center"/>
    </xf>
    <xf numFmtId="168" fontId="24" fillId="12" borderId="1" xfId="0" applyNumberFormat="1" applyFont="1" applyFill="1" applyBorder="1"/>
    <xf numFmtId="168" fontId="1" fillId="12" borderId="1" xfId="0" applyNumberFormat="1" applyFont="1" applyFill="1" applyBorder="1"/>
    <xf numFmtId="0" fontId="0" fillId="16" borderId="1" xfId="0" applyFill="1" applyBorder="1" applyAlignment="1">
      <alignment horizontal="center" vertical="center"/>
    </xf>
    <xf numFmtId="0" fontId="14" fillId="16" borderId="1" xfId="0" applyFont="1" applyFill="1" applyBorder="1" applyAlignment="1">
      <alignment horizontal="center" vertical="center"/>
    </xf>
    <xf numFmtId="0" fontId="14" fillId="16" borderId="1" xfId="0" applyFont="1" applyFill="1" applyBorder="1" applyAlignment="1">
      <alignment horizontal="center" wrapText="1"/>
    </xf>
    <xf numFmtId="0" fontId="14" fillId="16" borderId="1" xfId="0" applyFont="1" applyFill="1" applyBorder="1" applyAlignment="1">
      <alignment horizontal="center" vertical="center" wrapText="1"/>
    </xf>
    <xf numFmtId="0" fontId="50" fillId="0" borderId="1" xfId="0" applyFont="1" applyBorder="1"/>
    <xf numFmtId="0" fontId="50" fillId="0" borderId="1" xfId="0" applyFont="1" applyBorder="1" applyAlignment="1">
      <alignment wrapText="1"/>
    </xf>
    <xf numFmtId="0" fontId="50" fillId="10" borderId="1" xfId="0" applyFont="1" applyFill="1" applyBorder="1"/>
    <xf numFmtId="0" fontId="50" fillId="2" borderId="1" xfId="0" applyFont="1" applyFill="1" applyBorder="1" applyAlignment="1">
      <alignment horizontal="center"/>
    </xf>
    <xf numFmtId="0" fontId="53" fillId="0" borderId="40" xfId="0" applyFont="1" applyBorder="1" applyAlignment="1">
      <alignment horizontal="center" vertical="center"/>
    </xf>
    <xf numFmtId="0" fontId="53" fillId="0" borderId="8" xfId="0" applyFont="1" applyBorder="1" applyAlignment="1">
      <alignment horizontal="center"/>
    </xf>
    <xf numFmtId="0" fontId="3" fillId="10" borderId="9" xfId="0" applyFont="1" applyFill="1" applyBorder="1" applyAlignment="1">
      <alignment horizontal="center"/>
    </xf>
    <xf numFmtId="0" fontId="3" fillId="10" borderId="1" xfId="0" applyFont="1" applyFill="1" applyBorder="1" applyAlignment="1">
      <alignment horizontal="center"/>
    </xf>
    <xf numFmtId="0" fontId="30" fillId="16" borderId="54" xfId="0" applyFont="1" applyFill="1" applyBorder="1" applyAlignment="1">
      <alignment horizontal="center" vertical="center"/>
    </xf>
    <xf numFmtId="0" fontId="30" fillId="16" borderId="54" xfId="0" applyFont="1" applyFill="1" applyBorder="1" applyAlignment="1">
      <alignment horizontal="center" vertical="center" wrapText="1"/>
    </xf>
    <xf numFmtId="0" fontId="30" fillId="16" borderId="54" xfId="0" applyFont="1" applyFill="1" applyBorder="1" applyAlignment="1">
      <alignment horizontal="center" wrapText="1"/>
    </xf>
    <xf numFmtId="168" fontId="31" fillId="4" borderId="1" xfId="0" applyNumberFormat="1" applyFont="1" applyFill="1" applyBorder="1"/>
    <xf numFmtId="168" fontId="0" fillId="10" borderId="0" xfId="56" applyNumberFormat="1" applyFont="1" applyFill="1" applyBorder="1" applyAlignment="1">
      <alignment horizontal="center"/>
    </xf>
    <xf numFmtId="165" fontId="0" fillId="0" borderId="0" xfId="56" applyFont="1" applyBorder="1" applyAlignment="1">
      <alignment horizontal="center"/>
    </xf>
    <xf numFmtId="168" fontId="23" fillId="0" borderId="0" xfId="56" applyNumberFormat="1" applyFont="1" applyBorder="1" applyAlignment="1">
      <alignment horizontal="center"/>
    </xf>
    <xf numFmtId="168" fontId="23" fillId="0" borderId="0" xfId="56" applyNumberFormat="1" applyFont="1" applyBorder="1"/>
    <xf numFmtId="165" fontId="23" fillId="0" borderId="0" xfId="56" applyFont="1" applyBorder="1" applyAlignment="1">
      <alignment horizontal="center"/>
    </xf>
    <xf numFmtId="168" fontId="0" fillId="10" borderId="60" xfId="0" applyNumberFormat="1" applyFill="1" applyBorder="1"/>
    <xf numFmtId="165" fontId="23" fillId="0" borderId="1" xfId="56" applyFont="1" applyBorder="1" applyAlignment="1">
      <alignment horizontal="center"/>
    </xf>
    <xf numFmtId="0" fontId="19" fillId="12" borderId="1" xfId="0" applyFont="1" applyFill="1" applyBorder="1"/>
    <xf numFmtId="0" fontId="19" fillId="16" borderId="3" xfId="0" applyFont="1" applyFill="1" applyBorder="1"/>
    <xf numFmtId="168" fontId="0" fillId="4" borderId="46" xfId="0" applyNumberFormat="1" applyFill="1" applyBorder="1" applyAlignment="1">
      <alignment horizontal="center"/>
    </xf>
    <xf numFmtId="168" fontId="0" fillId="10" borderId="60" xfId="0" applyNumberFormat="1" applyFill="1" applyBorder="1" applyAlignment="1">
      <alignment horizontal="center"/>
    </xf>
    <xf numFmtId="0" fontId="18" fillId="0" borderId="45" xfId="0" applyFont="1" applyBorder="1"/>
    <xf numFmtId="168" fontId="0" fillId="4" borderId="46" xfId="0" applyNumberFormat="1" applyFill="1" applyBorder="1"/>
    <xf numFmtId="0" fontId="18" fillId="12" borderId="45" xfId="0" applyFont="1" applyFill="1" applyBorder="1"/>
    <xf numFmtId="168" fontId="0" fillId="12" borderId="46" xfId="0" applyNumberFormat="1" applyFill="1" applyBorder="1"/>
    <xf numFmtId="0" fontId="18" fillId="16" borderId="47" xfId="0" applyFont="1" applyFill="1" applyBorder="1"/>
    <xf numFmtId="168" fontId="0" fillId="16" borderId="46" xfId="0" applyNumberFormat="1" applyFill="1" applyBorder="1"/>
    <xf numFmtId="168" fontId="0" fillId="17" borderId="48" xfId="0" applyNumberFormat="1" applyFill="1" applyBorder="1"/>
    <xf numFmtId="0" fontId="30" fillId="17" borderId="1" xfId="0" applyFont="1" applyFill="1" applyBorder="1" applyAlignment="1">
      <alignment horizontal="center" vertical="center"/>
    </xf>
    <xf numFmtId="0" fontId="30" fillId="17" borderId="1" xfId="0" applyFont="1" applyFill="1" applyBorder="1" applyAlignment="1">
      <alignment horizontal="center" wrapText="1"/>
    </xf>
    <xf numFmtId="0" fontId="30" fillId="17" borderId="1" xfId="0" applyFont="1" applyFill="1" applyBorder="1" applyAlignment="1">
      <alignment horizontal="center" vertical="center" wrapText="1"/>
    </xf>
    <xf numFmtId="0" fontId="1" fillId="12" borderId="1" xfId="0" applyFont="1" applyFill="1" applyBorder="1"/>
    <xf numFmtId="10" fontId="1" fillId="12" borderId="1" xfId="0" applyNumberFormat="1" applyFont="1" applyFill="1" applyBorder="1"/>
    <xf numFmtId="0" fontId="16" fillId="0" borderId="47" xfId="0" applyFont="1" applyBorder="1" applyAlignment="1">
      <alignment horizontal="center" vertical="center"/>
    </xf>
    <xf numFmtId="0" fontId="30" fillId="17" borderId="45" xfId="0" applyFont="1" applyFill="1" applyBorder="1" applyAlignment="1">
      <alignment horizontal="center" vertical="center"/>
    </xf>
    <xf numFmtId="0" fontId="30" fillId="17" borderId="46" xfId="0" applyFont="1" applyFill="1" applyBorder="1" applyAlignment="1">
      <alignment horizontal="center" vertical="center" wrapText="1"/>
    </xf>
    <xf numFmtId="0" fontId="35" fillId="12" borderId="45" xfId="57" applyFill="1" applyBorder="1" applyAlignment="1" applyProtection="1"/>
    <xf numFmtId="164" fontId="1" fillId="12" borderId="46" xfId="56" applyNumberFormat="1" applyFont="1" applyFill="1" applyBorder="1"/>
    <xf numFmtId="0" fontId="35" fillId="0" borderId="45" xfId="57" applyBorder="1" applyAlignment="1" applyProtection="1"/>
    <xf numFmtId="168" fontId="1" fillId="0" borderId="46" xfId="56" applyNumberFormat="1" applyFont="1" applyBorder="1"/>
    <xf numFmtId="0" fontId="1" fillId="0" borderId="45" xfId="0" applyFont="1" applyBorder="1"/>
    <xf numFmtId="0" fontId="1" fillId="0" borderId="46" xfId="0" applyFont="1" applyBorder="1"/>
    <xf numFmtId="0" fontId="0" fillId="0" borderId="46" xfId="0" applyBorder="1"/>
    <xf numFmtId="0" fontId="0" fillId="0" borderId="78" xfId="0" applyBorder="1"/>
    <xf numFmtId="168" fontId="0" fillId="12" borderId="74" xfId="0" applyNumberFormat="1" applyFill="1" applyBorder="1"/>
    <xf numFmtId="0" fontId="14" fillId="12" borderId="45" xfId="0" applyFont="1" applyFill="1" applyBorder="1"/>
    <xf numFmtId="0" fontId="21" fillId="12" borderId="1" xfId="0" applyFont="1" applyFill="1" applyBorder="1" applyAlignment="1">
      <alignment horizontal="center" vertical="top"/>
    </xf>
    <xf numFmtId="0" fontId="0" fillId="12" borderId="1" xfId="0" applyFill="1" applyBorder="1" applyAlignment="1">
      <alignment horizontal="center" vertical="top"/>
    </xf>
    <xf numFmtId="0" fontId="28" fillId="4" borderId="43" xfId="0" applyFont="1" applyFill="1" applyBorder="1" applyAlignment="1">
      <alignment horizontal="center" vertical="center"/>
    </xf>
    <xf numFmtId="0" fontId="28" fillId="4" borderId="44" xfId="0" applyFont="1" applyFill="1" applyBorder="1" applyAlignment="1">
      <alignment horizontal="center" vertical="center"/>
    </xf>
    <xf numFmtId="0" fontId="28" fillId="4" borderId="75" xfId="0" applyFont="1" applyFill="1" applyBorder="1" applyAlignment="1">
      <alignment horizontal="center" vertical="center"/>
    </xf>
    <xf numFmtId="0" fontId="28" fillId="4" borderId="45" xfId="0" applyFont="1" applyFill="1" applyBorder="1" applyAlignment="1">
      <alignment horizontal="center" vertical="center"/>
    </xf>
    <xf numFmtId="0" fontId="28" fillId="4" borderId="1" xfId="0" applyFont="1" applyFill="1" applyBorder="1" applyAlignment="1">
      <alignment horizontal="center" vertical="center"/>
    </xf>
    <xf numFmtId="0" fontId="28" fillId="4" borderId="46" xfId="0" applyFont="1" applyFill="1" applyBorder="1" applyAlignment="1">
      <alignment horizontal="center" vertical="center"/>
    </xf>
    <xf numFmtId="168" fontId="0" fillId="16" borderId="2" xfId="56" applyNumberFormat="1" applyFont="1" applyFill="1" applyBorder="1" applyAlignment="1">
      <alignment horizontal="center" vertical="center"/>
    </xf>
    <xf numFmtId="168" fontId="0" fillId="16" borderId="3" xfId="56" applyNumberFormat="1" applyFont="1" applyFill="1" applyBorder="1" applyAlignment="1">
      <alignment horizontal="center" vertical="center"/>
    </xf>
    <xf numFmtId="168" fontId="0" fillId="16" borderId="81" xfId="56" applyNumberFormat="1" applyFont="1" applyFill="1" applyBorder="1" applyAlignment="1">
      <alignment horizontal="center" vertical="center"/>
    </xf>
    <xf numFmtId="0" fontId="47" fillId="16" borderId="15" xfId="0" applyFont="1" applyFill="1" applyBorder="1" applyAlignment="1" applyProtection="1">
      <alignment horizontal="center" vertical="center" wrapText="1"/>
      <protection hidden="1"/>
    </xf>
    <xf numFmtId="0" fontId="47" fillId="16" borderId="50" xfId="0" applyFont="1" applyFill="1" applyBorder="1" applyAlignment="1" applyProtection="1">
      <alignment horizontal="center" vertical="center" wrapText="1"/>
      <protection hidden="1"/>
    </xf>
    <xf numFmtId="0" fontId="47" fillId="16" borderId="51" xfId="0" applyFont="1" applyFill="1" applyBorder="1" applyAlignment="1" applyProtection="1">
      <alignment horizontal="center" vertical="center" wrapText="1"/>
      <protection hidden="1"/>
    </xf>
    <xf numFmtId="0" fontId="39" fillId="10" borderId="0" xfId="0" applyFont="1" applyFill="1" applyAlignment="1" applyProtection="1">
      <alignment horizontal="center" vertical="center" wrapText="1"/>
      <protection hidden="1"/>
    </xf>
    <xf numFmtId="0" fontId="44" fillId="17" borderId="2" xfId="0" applyFont="1" applyFill="1" applyBorder="1" applyAlignment="1" applyProtection="1">
      <alignment horizontal="center"/>
      <protection hidden="1"/>
    </xf>
    <xf numFmtId="0" fontId="44" fillId="17" borderId="3" xfId="0" applyFont="1" applyFill="1" applyBorder="1" applyAlignment="1" applyProtection="1">
      <alignment horizontal="center"/>
      <protection hidden="1"/>
    </xf>
    <xf numFmtId="0" fontId="51" fillId="12" borderId="17" xfId="0" applyFont="1" applyFill="1" applyBorder="1" applyAlignment="1">
      <alignment horizontal="center"/>
    </xf>
    <xf numFmtId="0" fontId="52" fillId="12" borderId="18" xfId="0" applyFont="1" applyFill="1" applyBorder="1" applyAlignment="1">
      <alignment horizontal="center"/>
    </xf>
    <xf numFmtId="0" fontId="52" fillId="12" borderId="19" xfId="0" applyFont="1" applyFill="1" applyBorder="1" applyAlignment="1">
      <alignment horizontal="center"/>
    </xf>
    <xf numFmtId="0" fontId="52" fillId="12" borderId="33" xfId="0" applyFont="1" applyFill="1" applyBorder="1" applyAlignment="1">
      <alignment horizontal="center"/>
    </xf>
    <xf numFmtId="0" fontId="52" fillId="12" borderId="0" xfId="0" applyFont="1" applyFill="1" applyAlignment="1">
      <alignment horizontal="center"/>
    </xf>
    <xf numFmtId="0" fontId="52" fillId="12" borderId="34" xfId="0" applyFont="1" applyFill="1" applyBorder="1" applyAlignment="1">
      <alignment horizontal="center"/>
    </xf>
    <xf numFmtId="0" fontId="0" fillId="0" borderId="33" xfId="0" applyBorder="1" applyAlignment="1">
      <alignment horizontal="left" vertical="top"/>
    </xf>
    <xf numFmtId="0" fontId="0" fillId="0" borderId="0" xfId="0" applyAlignment="1">
      <alignment horizontal="left" vertical="top"/>
    </xf>
    <xf numFmtId="0" fontId="0" fillId="0" borderId="34" xfId="0" applyBorder="1" applyAlignment="1">
      <alignment horizontal="left" vertical="top"/>
    </xf>
    <xf numFmtId="0" fontId="0" fillId="0" borderId="41" xfId="0" applyBorder="1" applyAlignment="1">
      <alignment horizontal="left" vertical="top"/>
    </xf>
    <xf numFmtId="0" fontId="0" fillId="0" borderId="38" xfId="0" applyBorder="1" applyAlignment="1">
      <alignment horizontal="left" vertical="top"/>
    </xf>
    <xf numFmtId="0" fontId="0" fillId="0" borderId="39" xfId="0" applyBorder="1" applyAlignment="1">
      <alignment horizontal="left" vertical="top"/>
    </xf>
    <xf numFmtId="0" fontId="53" fillId="0" borderId="40" xfId="0" applyFont="1" applyBorder="1" applyAlignment="1">
      <alignment horizontal="center"/>
    </xf>
    <xf numFmtId="0" fontId="53" fillId="0" borderId="40" xfId="0" applyFont="1" applyBorder="1" applyAlignment="1">
      <alignment horizontal="center" wrapText="1"/>
    </xf>
    <xf numFmtId="0" fontId="53" fillId="0" borderId="40" xfId="0" applyFont="1" applyBorder="1" applyAlignment="1">
      <alignment horizontal="center" vertical="center"/>
    </xf>
    <xf numFmtId="0" fontId="10" fillId="0" borderId="31" xfId="0" applyFont="1" applyBorder="1" applyAlignment="1">
      <alignment horizontal="center"/>
    </xf>
    <xf numFmtId="0" fontId="10" fillId="0" borderId="32" xfId="0" applyFont="1" applyBorder="1" applyAlignment="1">
      <alignment horizontal="center"/>
    </xf>
    <xf numFmtId="0" fontId="8" fillId="0" borderId="29" xfId="0" applyFont="1" applyBorder="1" applyAlignment="1">
      <alignment horizontal="center"/>
    </xf>
    <xf numFmtId="0" fontId="8" fillId="0" borderId="30" xfId="0" applyFont="1" applyBorder="1" applyAlignment="1">
      <alignment horizontal="center"/>
    </xf>
    <xf numFmtId="0" fontId="10" fillId="0" borderId="35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8" fillId="0" borderId="37" xfId="0" applyFont="1" applyBorder="1" applyAlignment="1">
      <alignment horizontal="center"/>
    </xf>
    <xf numFmtId="0" fontId="8" fillId="0" borderId="27" xfId="0" applyFont="1" applyBorder="1" applyAlignment="1">
      <alignment horizontal="center"/>
    </xf>
    <xf numFmtId="0" fontId="7" fillId="0" borderId="38" xfId="0" applyFont="1" applyBorder="1" applyAlignment="1">
      <alignment horizontal="center"/>
    </xf>
    <xf numFmtId="0" fontId="12" fillId="0" borderId="41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2" fillId="0" borderId="38" xfId="0" applyFont="1" applyBorder="1" applyAlignment="1">
      <alignment horizontal="center"/>
    </xf>
    <xf numFmtId="0" fontId="12" fillId="0" borderId="39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53" fillId="0" borderId="65" xfId="0" applyFont="1" applyBorder="1" applyAlignment="1">
      <alignment horizontal="center" vertical="center"/>
    </xf>
    <xf numFmtId="0" fontId="53" fillId="0" borderId="40" xfId="0" applyFont="1" applyBorder="1" applyAlignment="1">
      <alignment horizontal="center" vertical="center" wrapText="1"/>
    </xf>
    <xf numFmtId="0" fontId="53" fillId="0" borderId="22" xfId="0" applyFont="1" applyBorder="1" applyAlignment="1">
      <alignment horizontal="center"/>
    </xf>
    <xf numFmtId="0" fontId="53" fillId="0" borderId="5" xfId="0" applyFont="1" applyBorder="1" applyAlignment="1">
      <alignment horizontal="center"/>
    </xf>
    <xf numFmtId="0" fontId="10" fillId="0" borderId="20" xfId="0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0" fontId="53" fillId="0" borderId="66" xfId="0" applyFont="1" applyBorder="1" applyAlignment="1">
      <alignment horizontal="center" vertical="center"/>
    </xf>
    <xf numFmtId="0" fontId="53" fillId="0" borderId="66" xfId="0" applyFont="1" applyBorder="1" applyAlignment="1">
      <alignment horizontal="center" vertical="center" wrapText="1"/>
    </xf>
    <xf numFmtId="0" fontId="53" fillId="0" borderId="65" xfId="0" applyFont="1" applyBorder="1" applyAlignment="1">
      <alignment horizontal="center" vertical="center" wrapText="1"/>
    </xf>
    <xf numFmtId="0" fontId="3" fillId="0" borderId="70" xfId="0" applyFont="1" applyBorder="1" applyAlignment="1">
      <alignment horizontal="center"/>
    </xf>
    <xf numFmtId="0" fontId="3" fillId="0" borderId="67" xfId="0" applyFont="1" applyBorder="1" applyAlignment="1">
      <alignment horizontal="center"/>
    </xf>
    <xf numFmtId="0" fontId="3" fillId="0" borderId="68" xfId="0" applyFont="1" applyBorder="1" applyAlignment="1">
      <alignment horizontal="center"/>
    </xf>
    <xf numFmtId="0" fontId="53" fillId="0" borderId="66" xfId="0" applyFont="1" applyBorder="1" applyAlignment="1">
      <alignment horizontal="center" wrapText="1"/>
    </xf>
    <xf numFmtId="0" fontId="53" fillId="0" borderId="65" xfId="0" applyFont="1" applyBorder="1" applyAlignment="1">
      <alignment horizontal="center" wrapText="1"/>
    </xf>
    <xf numFmtId="0" fontId="10" fillId="0" borderId="12" xfId="0" applyFont="1" applyBorder="1" applyAlignment="1">
      <alignment horizontal="center"/>
    </xf>
    <xf numFmtId="0" fontId="10" fillId="0" borderId="11" xfId="0" applyFont="1" applyBorder="1" applyAlignment="1">
      <alignment horizontal="center"/>
    </xf>
    <xf numFmtId="0" fontId="12" fillId="0" borderId="33" xfId="0" applyFont="1" applyBorder="1" applyAlignment="1">
      <alignment horizontal="center"/>
    </xf>
    <xf numFmtId="0" fontId="3" fillId="0" borderId="71" xfId="0" applyFont="1" applyBorder="1" applyAlignment="1">
      <alignment horizontal="left"/>
    </xf>
    <xf numFmtId="0" fontId="3" fillId="0" borderId="67" xfId="0" applyFont="1" applyBorder="1" applyAlignment="1">
      <alignment horizontal="left"/>
    </xf>
    <xf numFmtId="0" fontId="3" fillId="0" borderId="68" xfId="0" applyFont="1" applyBorder="1" applyAlignment="1">
      <alignment horizontal="left"/>
    </xf>
    <xf numFmtId="0" fontId="15" fillId="12" borderId="15" xfId="0" applyFont="1" applyFill="1" applyBorder="1" applyAlignment="1">
      <alignment horizontal="center" vertical="center"/>
    </xf>
    <xf numFmtId="0" fontId="15" fillId="12" borderId="50" xfId="0" applyFont="1" applyFill="1" applyBorder="1" applyAlignment="1">
      <alignment horizontal="center" vertical="center"/>
    </xf>
    <xf numFmtId="0" fontId="15" fillId="12" borderId="51" xfId="0" applyFont="1" applyFill="1" applyBorder="1" applyAlignment="1">
      <alignment horizontal="center" vertical="center"/>
    </xf>
    <xf numFmtId="0" fontId="15" fillId="12" borderId="55" xfId="0" applyFont="1" applyFill="1" applyBorder="1" applyAlignment="1">
      <alignment horizontal="center" vertical="center"/>
    </xf>
    <xf numFmtId="0" fontId="15" fillId="12" borderId="0" xfId="0" applyFont="1" applyFill="1" applyAlignment="1">
      <alignment horizontal="center" vertical="center"/>
    </xf>
    <xf numFmtId="0" fontId="15" fillId="12" borderId="16" xfId="0" applyFont="1" applyFill="1" applyBorder="1" applyAlignment="1">
      <alignment horizontal="center" vertical="center"/>
    </xf>
    <xf numFmtId="0" fontId="15" fillId="16" borderId="15" xfId="0" applyFont="1" applyFill="1" applyBorder="1" applyAlignment="1">
      <alignment horizontal="center" vertical="center"/>
    </xf>
    <xf numFmtId="0" fontId="2" fillId="16" borderId="50" xfId="0" applyFont="1" applyFill="1" applyBorder="1" applyAlignment="1">
      <alignment horizontal="center" vertical="center"/>
    </xf>
    <xf numFmtId="0" fontId="2" fillId="16" borderId="51" xfId="0" applyFont="1" applyFill="1" applyBorder="1" applyAlignment="1">
      <alignment horizontal="center" vertical="center"/>
    </xf>
    <xf numFmtId="0" fontId="2" fillId="16" borderId="12" xfId="0" applyFont="1" applyFill="1" applyBorder="1" applyAlignment="1">
      <alignment horizontal="center" vertical="center"/>
    </xf>
    <xf numFmtId="0" fontId="2" fillId="16" borderId="11" xfId="0" applyFont="1" applyFill="1" applyBorder="1" applyAlignment="1">
      <alignment horizontal="center" vertical="center"/>
    </xf>
    <xf numFmtId="0" fontId="2" fillId="16" borderId="13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21" fillId="3" borderId="58" xfId="0" applyFont="1" applyFill="1" applyBorder="1" applyAlignment="1">
      <alignment horizontal="center" vertical="center"/>
    </xf>
    <xf numFmtId="0" fontId="14" fillId="3" borderId="59" xfId="0" applyFont="1" applyFill="1" applyBorder="1" applyAlignment="1">
      <alignment horizontal="center" vertical="center"/>
    </xf>
    <xf numFmtId="0" fontId="14" fillId="3" borderId="56" xfId="0" applyFont="1" applyFill="1" applyBorder="1" applyAlignment="1">
      <alignment horizontal="center" vertical="center"/>
    </xf>
    <xf numFmtId="0" fontId="14" fillId="3" borderId="61" xfId="0" applyFont="1" applyFill="1" applyBorder="1" applyAlignment="1">
      <alignment horizontal="center" vertical="center"/>
    </xf>
    <xf numFmtId="0" fontId="14" fillId="3" borderId="62" xfId="0" applyFont="1" applyFill="1" applyBorder="1" applyAlignment="1">
      <alignment horizontal="center" vertical="center"/>
    </xf>
    <xf numFmtId="0" fontId="14" fillId="3" borderId="63" xfId="0" applyFont="1" applyFill="1" applyBorder="1" applyAlignment="1">
      <alignment horizontal="center" vertical="center"/>
    </xf>
    <xf numFmtId="0" fontId="1" fillId="0" borderId="58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0" fillId="16" borderId="49" xfId="0" applyFill="1" applyBorder="1" applyAlignment="1">
      <alignment horizontal="center"/>
    </xf>
    <xf numFmtId="0" fontId="0" fillId="16" borderId="0" xfId="0" applyFill="1" applyAlignment="1">
      <alignment horizontal="center"/>
    </xf>
    <xf numFmtId="0" fontId="0" fillId="16" borderId="60" xfId="0" applyFill="1" applyBorder="1" applyAlignment="1">
      <alignment horizontal="center"/>
    </xf>
    <xf numFmtId="0" fontId="0" fillId="16" borderId="58" xfId="0" applyFill="1" applyBorder="1" applyAlignment="1">
      <alignment horizontal="center"/>
    </xf>
    <xf numFmtId="0" fontId="0" fillId="16" borderId="59" xfId="0" applyFill="1" applyBorder="1" applyAlignment="1">
      <alignment horizontal="center"/>
    </xf>
    <xf numFmtId="0" fontId="0" fillId="16" borderId="56" xfId="0" applyFill="1" applyBorder="1" applyAlignment="1">
      <alignment horizontal="center"/>
    </xf>
    <xf numFmtId="0" fontId="2" fillId="16" borderId="7" xfId="0" applyFont="1" applyFill="1" applyBorder="1" applyAlignment="1">
      <alignment horizontal="center" wrapText="1"/>
    </xf>
    <xf numFmtId="0" fontId="16" fillId="16" borderId="5" xfId="0" applyFont="1" applyFill="1" applyBorder="1" applyAlignment="1">
      <alignment horizontal="center" wrapText="1"/>
    </xf>
    <xf numFmtId="0" fontId="16" fillId="16" borderId="6" xfId="0" applyFont="1" applyFill="1" applyBorder="1" applyAlignment="1">
      <alignment horizontal="center" wrapText="1"/>
    </xf>
    <xf numFmtId="0" fontId="2" fillId="16" borderId="58" xfId="0" applyFont="1" applyFill="1" applyBorder="1" applyAlignment="1">
      <alignment horizontal="center" wrapText="1"/>
    </xf>
    <xf numFmtId="0" fontId="17" fillId="16" borderId="59" xfId="0" applyFont="1" applyFill="1" applyBorder="1" applyAlignment="1">
      <alignment horizontal="center" wrapText="1"/>
    </xf>
    <xf numFmtId="0" fontId="17" fillId="16" borderId="56" xfId="0" applyFont="1" applyFill="1" applyBorder="1" applyAlignment="1">
      <alignment horizontal="center" wrapText="1"/>
    </xf>
    <xf numFmtId="0" fontId="38" fillId="16" borderId="49" xfId="0" applyFont="1" applyFill="1" applyBorder="1" applyAlignment="1">
      <alignment horizontal="center" wrapText="1"/>
    </xf>
    <xf numFmtId="0" fontId="2" fillId="16" borderId="0" xfId="0" applyFont="1" applyFill="1" applyAlignment="1">
      <alignment horizontal="center" wrapText="1"/>
    </xf>
    <xf numFmtId="0" fontId="2" fillId="16" borderId="60" xfId="0" applyFont="1" applyFill="1" applyBorder="1" applyAlignment="1">
      <alignment horizontal="center" wrapText="1"/>
    </xf>
    <xf numFmtId="0" fontId="18" fillId="17" borderId="72" xfId="0" applyFont="1" applyFill="1" applyBorder="1" applyAlignment="1">
      <alignment horizontal="left"/>
    </xf>
    <xf numFmtId="0" fontId="18" fillId="17" borderId="73" xfId="0" applyFont="1" applyFill="1" applyBorder="1" applyAlignment="1">
      <alignment horizontal="left"/>
    </xf>
    <xf numFmtId="0" fontId="52" fillId="12" borderId="18" xfId="0" applyFont="1" applyFill="1" applyBorder="1" applyAlignment="1"/>
    <xf numFmtId="0" fontId="52" fillId="12" borderId="19" xfId="0" applyFont="1" applyFill="1" applyBorder="1" applyAlignment="1"/>
    <xf numFmtId="0" fontId="52" fillId="12" borderId="33" xfId="0" applyFont="1" applyFill="1" applyBorder="1" applyAlignment="1"/>
    <xf numFmtId="0" fontId="52" fillId="12" borderId="0" xfId="0" applyFont="1" applyFill="1" applyAlignment="1"/>
    <xf numFmtId="0" fontId="52" fillId="12" borderId="34" xfId="0" applyFont="1" applyFill="1" applyBorder="1" applyAlignment="1"/>
    <xf numFmtId="0" fontId="0" fillId="0" borderId="0" xfId="0" applyAlignment="1"/>
    <xf numFmtId="0" fontId="0" fillId="0" borderId="34" xfId="0" applyBorder="1" applyAlignment="1"/>
    <xf numFmtId="0" fontId="1" fillId="0" borderId="49" xfId="0" applyFont="1" applyBorder="1"/>
    <xf numFmtId="0" fontId="1" fillId="0" borderId="60" xfId="0" applyFont="1" applyBorder="1"/>
    <xf numFmtId="168" fontId="1" fillId="9" borderId="1" xfId="56" applyNumberFormat="1" applyFont="1" applyFill="1" applyBorder="1"/>
    <xf numFmtId="9" fontId="1" fillId="7" borderId="1" xfId="0" applyNumberFormat="1" applyFont="1" applyFill="1" applyBorder="1"/>
    <xf numFmtId="0" fontId="1" fillId="0" borderId="61" xfId="0" applyFont="1" applyBorder="1" applyAlignment="1">
      <alignment horizontal="center"/>
    </xf>
    <xf numFmtId="0" fontId="1" fillId="0" borderId="57" xfId="0" applyFont="1" applyBorder="1" applyAlignment="1">
      <alignment horizontal="center"/>
    </xf>
    <xf numFmtId="168" fontId="1" fillId="14" borderId="1" xfId="56" applyNumberFormat="1" applyFont="1" applyFill="1" applyBorder="1" applyAlignment="1"/>
    <xf numFmtId="0" fontId="1" fillId="0" borderId="59" xfId="0" applyFont="1" applyBorder="1" applyAlignment="1">
      <alignment horizontal="center"/>
    </xf>
    <xf numFmtId="1" fontId="1" fillId="13" borderId="10" xfId="0" applyNumberFormat="1" applyFont="1" applyFill="1" applyBorder="1"/>
    <xf numFmtId="0" fontId="1" fillId="0" borderId="5" xfId="0" applyFont="1" applyBorder="1" applyAlignment="1">
      <alignment horizontal="center"/>
    </xf>
    <xf numFmtId="1" fontId="1" fillId="13" borderId="74" xfId="0" applyNumberFormat="1" applyFont="1" applyFill="1" applyBorder="1"/>
  </cellXfs>
  <cellStyles count="60">
    <cellStyle name="Hipervínculo" xfId="24" builtinId="8" hidden="1"/>
    <cellStyle name="Hipervínculo" xfId="26" builtinId="8" hidden="1"/>
    <cellStyle name="Hipervínculo" xfId="28" builtinId="8" hidden="1"/>
    <cellStyle name="Hipervínculo" xfId="32" builtinId="8" hidden="1"/>
    <cellStyle name="Hipervínculo" xfId="34" builtinId="8" hidden="1"/>
    <cellStyle name="Hipervínculo" xfId="36" builtinId="8" hidden="1"/>
    <cellStyle name="Hipervínculo" xfId="40" builtinId="8" hidden="1"/>
    <cellStyle name="Hipervínculo" xfId="42" builtinId="8" hidden="1"/>
    <cellStyle name="Hipervínculo" xfId="44" builtinId="8" hidden="1"/>
    <cellStyle name="Hipervínculo" xfId="48" builtinId="8" hidden="1"/>
    <cellStyle name="Hipervínculo" xfId="50" builtinId="8" hidden="1"/>
    <cellStyle name="Hipervínculo" xfId="52" builtinId="8" hidden="1"/>
    <cellStyle name="Hipervínculo" xfId="54" builtinId="8" hidden="1"/>
    <cellStyle name="Hipervínculo" xfId="46" builtinId="8" hidden="1"/>
    <cellStyle name="Hipervínculo" xfId="38" builtinId="8" hidden="1"/>
    <cellStyle name="Hipervínculo" xfId="30" builtinId="8" hidden="1"/>
    <cellStyle name="Hipervínculo" xfId="22" builtinId="8" hidden="1"/>
    <cellStyle name="Hipervínculo" xfId="10" builtinId="8" hidden="1"/>
    <cellStyle name="Hipervínculo" xfId="12" builtinId="8" hidden="1"/>
    <cellStyle name="Hipervínculo" xfId="16" builtinId="8" hidden="1"/>
    <cellStyle name="Hipervínculo" xfId="18" builtinId="8" hidden="1"/>
    <cellStyle name="Hipervínculo" xfId="20" builtinId="8" hidden="1"/>
    <cellStyle name="Hipervínculo" xfId="14" builtinId="8" hidden="1"/>
    <cellStyle name="Hipervínculo" xfId="6" builtinId="8" hidden="1"/>
    <cellStyle name="Hipervínculo" xfId="8" builtinId="8" hidden="1"/>
    <cellStyle name="Hipervínculo" xfId="3" builtinId="8" hidden="1"/>
    <cellStyle name="Hipervínculo" xfId="1" builtinId="8" hidden="1"/>
    <cellStyle name="Hipervínculo" xfId="57" builtinId="8"/>
    <cellStyle name="Hipervínculo visitado" xfId="43" builtinId="9" hidden="1"/>
    <cellStyle name="Hipervínculo visitado" xfId="45" builtinId="9" hidden="1"/>
    <cellStyle name="Hipervínculo visitado" xfId="49" builtinId="9" hidden="1"/>
    <cellStyle name="Hipervínculo visitado" xfId="51" builtinId="9" hidden="1"/>
    <cellStyle name="Hipervínculo visitado" xfId="53" builtinId="9" hidden="1"/>
    <cellStyle name="Hipervínculo visitado" xfId="55" builtinId="9" hidden="1"/>
    <cellStyle name="Hipervínculo visitado" xfId="47" builtinId="9" hidden="1"/>
    <cellStyle name="Hipervínculo visitado" xfId="19" builtinId="9" hidden="1"/>
    <cellStyle name="Hipervínculo visitado" xfId="21" builtinId="9" hidden="1"/>
    <cellStyle name="Hipervínculo visitado" xfId="25" builtinId="9" hidden="1"/>
    <cellStyle name="Hipervínculo visitado" xfId="27" builtinId="9" hidden="1"/>
    <cellStyle name="Hipervínculo visitado" xfId="29" builtinId="9" hidden="1"/>
    <cellStyle name="Hipervínculo visitado" xfId="31" builtinId="9" hidden="1"/>
    <cellStyle name="Hipervínculo visitado" xfId="33" builtinId="9" hidden="1"/>
    <cellStyle name="Hipervínculo visitado" xfId="35" builtinId="9" hidden="1"/>
    <cellStyle name="Hipervínculo visitado" xfId="37" builtinId="9" hidden="1"/>
    <cellStyle name="Hipervínculo visitado" xfId="41" builtinId="9" hidden="1"/>
    <cellStyle name="Hipervínculo visitado" xfId="39" builtinId="9" hidden="1"/>
    <cellStyle name="Hipervínculo visitado" xfId="23" builtinId="9" hidden="1"/>
    <cellStyle name="Hipervínculo visitado" xfId="11" builtinId="9" hidden="1"/>
    <cellStyle name="Hipervínculo visitado" xfId="13" builtinId="9" hidden="1"/>
    <cellStyle name="Hipervínculo visitado" xfId="15" builtinId="9" hidden="1"/>
    <cellStyle name="Hipervínculo visitado" xfId="17" builtinId="9" hidden="1"/>
    <cellStyle name="Hipervínculo visitado" xfId="4" builtinId="9" hidden="1"/>
    <cellStyle name="Hipervínculo visitado" xfId="9" builtinId="9" hidden="1"/>
    <cellStyle name="Hipervínculo visitado" xfId="7" builtinId="9" hidden="1"/>
    <cellStyle name="Hipervínculo visitado" xfId="2" builtinId="9" hidden="1"/>
    <cellStyle name="Millares" xfId="58" builtinId="3"/>
    <cellStyle name="Millares_Taller clase 4 (2)" xfId="59" xr:uid="{00000000-0005-0000-0000-000038000000}"/>
    <cellStyle name="Moneda" xfId="56" builtinId="4"/>
    <cellStyle name="Normal" xfId="0" builtinId="0"/>
    <cellStyle name="Porcentaje" xfId="5" builtinId="5"/>
  </cellStyles>
  <dxfs count="2">
    <dxf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9" defaultPivotStyle="PivotStyleLight16"/>
  <colors>
    <mruColors>
      <color rgb="FFF9A9A7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easy.com.ar/webapp/wcs/stores/servlet/es/easyar/aire-libre/mesas-y-sillas/-1018642" TargetMode="External"/><Relationship Id="rId3" Type="http://schemas.openxmlformats.org/officeDocument/2006/relationships/hyperlink" Target="http://articulo.mercadolibre.com.co/MCO-412339254-maquina-plana-industrial-_JM" TargetMode="External"/><Relationship Id="rId7" Type="http://schemas.openxmlformats.org/officeDocument/2006/relationships/hyperlink" Target="http://articulo.mercadolibre.com.co/MCO-412310415-vitrinas-exhibidoras-oferta-excelente-estado-_JM" TargetMode="External"/><Relationship Id="rId2" Type="http://schemas.openxmlformats.org/officeDocument/2006/relationships/hyperlink" Target="http://articulo.mercadolibre.com.co/MCO-412353245-fileteadora-industrial-gemsy-original-nueva-_JM" TargetMode="External"/><Relationship Id="rId1" Type="http://schemas.openxmlformats.org/officeDocument/2006/relationships/hyperlink" Target="http://www.alkosto.com/maquina-de-coser-singer-3221" TargetMode="External"/><Relationship Id="rId6" Type="http://schemas.openxmlformats.org/officeDocument/2006/relationships/hyperlink" Target="http://articulo.mercadolibre.com.co/MCO-412060410-escritorio-de-vidrio-negro-164x139cm-vi004-mesa-computador-_JM" TargetMode="External"/><Relationship Id="rId11" Type="http://schemas.openxmlformats.org/officeDocument/2006/relationships/printerSettings" Target="../printerSettings/printerSettings1.bin"/><Relationship Id="rId5" Type="http://schemas.openxmlformats.org/officeDocument/2006/relationships/hyperlink" Target="http://www.homecenter.com.co/homecenter-co/product/202976/Silla-de-escritorio-negra;jsessionid=868CCAE8F4657F74F8C2F4ECA837D20E.node6?passedNavAction=" TargetMode="External"/><Relationship Id="rId10" Type="http://schemas.openxmlformats.org/officeDocument/2006/relationships/hyperlink" Target="http://www.alkosto.com/telefono-inalambrico-vtech-con-identificador" TargetMode="External"/><Relationship Id="rId4" Type="http://schemas.openxmlformats.org/officeDocument/2006/relationships/hyperlink" Target="http://articulo.mercadolibre.com.co/MCO-412060205-collarin-familiar-_JM" TargetMode="External"/><Relationship Id="rId9" Type="http://schemas.openxmlformats.org/officeDocument/2006/relationships/hyperlink" Target="http://www.alkosto.com/computador-de-escritorio-pcsmart-celeron-windows-8-pdk-cs1901w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2" tint="-0.499984740745262"/>
  </sheetPr>
  <dimension ref="B3:F41"/>
  <sheetViews>
    <sheetView tabSelected="1" topLeftCell="A25" zoomScaleNormal="100" workbookViewId="0">
      <selection activeCell="F41" sqref="F41"/>
    </sheetView>
  </sheetViews>
  <sheetFormatPr defaultColWidth="11.42578125" defaultRowHeight="15"/>
  <cols>
    <col min="2" max="2" width="10.85546875" customWidth="1"/>
    <col min="3" max="3" width="41.85546875" customWidth="1"/>
    <col min="4" max="5" width="14.140625" bestFit="1" customWidth="1"/>
    <col min="6" max="6" width="26" customWidth="1"/>
  </cols>
  <sheetData>
    <row r="3" spans="2:6">
      <c r="B3" s="253" t="s">
        <v>0</v>
      </c>
      <c r="C3" s="254"/>
      <c r="D3" s="254"/>
      <c r="E3" s="254"/>
      <c r="F3" s="254"/>
    </row>
    <row r="4" spans="2:6" ht="33.75" customHeight="1">
      <c r="B4" s="254"/>
      <c r="C4" s="254"/>
      <c r="D4" s="254"/>
      <c r="E4" s="254"/>
      <c r="F4" s="254"/>
    </row>
    <row r="5" spans="2:6" ht="30">
      <c r="B5" s="201" t="s">
        <v>1</v>
      </c>
      <c r="C5" s="202" t="s">
        <v>2</v>
      </c>
      <c r="D5" s="203" t="s">
        <v>3</v>
      </c>
      <c r="E5" s="203" t="s">
        <v>4</v>
      </c>
      <c r="F5" s="204" t="s">
        <v>5</v>
      </c>
    </row>
    <row r="6" spans="2:6">
      <c r="B6" s="1"/>
      <c r="C6" s="205" t="s">
        <v>6</v>
      </c>
      <c r="D6" s="1"/>
      <c r="E6" s="1"/>
      <c r="F6" s="1"/>
    </row>
    <row r="7" spans="2:6">
      <c r="B7" s="1">
        <v>1</v>
      </c>
      <c r="C7" s="1" t="s">
        <v>7</v>
      </c>
      <c r="D7" s="72">
        <v>52000000</v>
      </c>
      <c r="E7" s="72">
        <f>B7*D7</f>
        <v>52000000</v>
      </c>
      <c r="F7" s="97" t="s">
        <v>8</v>
      </c>
    </row>
    <row r="8" spans="2:6">
      <c r="B8" s="1">
        <v>3</v>
      </c>
      <c r="C8" s="1" t="s">
        <v>9</v>
      </c>
      <c r="D8" s="72">
        <v>248000</v>
      </c>
      <c r="E8" s="72">
        <f>B8*D8</f>
        <v>744000</v>
      </c>
      <c r="F8" s="97" t="s">
        <v>10</v>
      </c>
    </row>
    <row r="9" spans="2:6">
      <c r="B9" s="1">
        <v>1</v>
      </c>
      <c r="C9" s="1" t="s">
        <v>11</v>
      </c>
      <c r="D9" s="72">
        <v>20000000</v>
      </c>
      <c r="E9" s="72">
        <f>B9*D9</f>
        <v>20000000</v>
      </c>
      <c r="F9" s="97" t="s">
        <v>12</v>
      </c>
    </row>
    <row r="10" spans="2:6">
      <c r="B10" s="1">
        <v>2</v>
      </c>
      <c r="C10" s="1" t="s">
        <v>13</v>
      </c>
      <c r="D10" s="72">
        <v>679000</v>
      </c>
      <c r="E10" s="72">
        <f>D10*B10</f>
        <v>1358000</v>
      </c>
      <c r="F10" s="97" t="s">
        <v>14</v>
      </c>
    </row>
    <row r="11" spans="2:6">
      <c r="B11" s="1">
        <v>3</v>
      </c>
      <c r="C11" s="1" t="s">
        <v>15</v>
      </c>
      <c r="D11" s="72">
        <v>550000</v>
      </c>
      <c r="E11" s="72">
        <f>D11*B11</f>
        <v>1650000</v>
      </c>
      <c r="F11" s="97" t="s">
        <v>16</v>
      </c>
    </row>
    <row r="12" spans="2:6">
      <c r="B12" s="1">
        <v>3</v>
      </c>
      <c r="C12" s="1" t="s">
        <v>17</v>
      </c>
      <c r="D12" s="72">
        <v>550000</v>
      </c>
      <c r="E12" s="72">
        <f>B12*D12</f>
        <v>1650000</v>
      </c>
      <c r="F12" s="97" t="s">
        <v>18</v>
      </c>
    </row>
    <row r="13" spans="2:6">
      <c r="B13" s="1"/>
      <c r="C13" s="32" t="s">
        <v>19</v>
      </c>
      <c r="D13" s="1"/>
      <c r="E13" s="76"/>
      <c r="F13" s="98">
        <f>E7+E8+E9+E10+E11+E12</f>
        <v>77402000</v>
      </c>
    </row>
    <row r="14" spans="2:6">
      <c r="B14" s="1"/>
      <c r="C14" s="205" t="s">
        <v>20</v>
      </c>
      <c r="D14" s="1"/>
      <c r="E14" s="1"/>
      <c r="F14" s="1"/>
    </row>
    <row r="15" spans="2:6">
      <c r="B15" s="1">
        <v>100</v>
      </c>
      <c r="C15" s="1" t="s">
        <v>21</v>
      </c>
      <c r="D15" s="72">
        <v>69900</v>
      </c>
      <c r="E15" s="76">
        <f>D15*B15</f>
        <v>6990000</v>
      </c>
      <c r="F15" s="97" t="s">
        <v>22</v>
      </c>
    </row>
    <row r="16" spans="2:6">
      <c r="B16" s="1">
        <v>4</v>
      </c>
      <c r="C16" s="1" t="s">
        <v>23</v>
      </c>
      <c r="D16" s="72">
        <v>391000</v>
      </c>
      <c r="E16" s="72">
        <f>D16*B16</f>
        <v>1564000</v>
      </c>
      <c r="F16" s="97" t="s">
        <v>22</v>
      </c>
    </row>
    <row r="17" spans="2:6">
      <c r="B17" s="1">
        <v>25</v>
      </c>
      <c r="C17" s="1" t="s">
        <v>24</v>
      </c>
      <c r="D17" s="72">
        <v>230000</v>
      </c>
      <c r="E17" s="72">
        <f>D17*B17</f>
        <v>5750000</v>
      </c>
      <c r="F17" s="97" t="s">
        <v>25</v>
      </c>
    </row>
    <row r="18" spans="2:6">
      <c r="B18" s="1">
        <v>2</v>
      </c>
      <c r="C18" s="1" t="s">
        <v>26</v>
      </c>
      <c r="D18" s="72">
        <v>130000</v>
      </c>
      <c r="E18" s="76">
        <f>D18*B18</f>
        <v>260000</v>
      </c>
      <c r="F18" s="97" t="s">
        <v>22</v>
      </c>
    </row>
    <row r="19" spans="2:6">
      <c r="B19" s="1"/>
      <c r="C19" s="32" t="s">
        <v>27</v>
      </c>
      <c r="D19" s="1"/>
      <c r="E19" s="1"/>
      <c r="F19" s="98">
        <f>E15+E16+E17+E18</f>
        <v>14564000</v>
      </c>
    </row>
    <row r="20" spans="2:6" ht="30" customHeight="1">
      <c r="B20" s="1"/>
      <c r="C20" s="206" t="s">
        <v>28</v>
      </c>
      <c r="D20" s="1"/>
      <c r="E20" s="1"/>
      <c r="F20" s="1"/>
    </row>
    <row r="21" spans="2:6">
      <c r="B21" s="109">
        <v>1</v>
      </c>
      <c r="C21" s="1" t="s">
        <v>29</v>
      </c>
      <c r="D21" s="72">
        <v>69000</v>
      </c>
      <c r="E21" s="72">
        <f>D21*B21</f>
        <v>69000</v>
      </c>
      <c r="F21" s="97" t="s">
        <v>10</v>
      </c>
    </row>
    <row r="22" spans="2:6">
      <c r="B22" s="1">
        <v>4</v>
      </c>
      <c r="C22" s="1" t="s">
        <v>30</v>
      </c>
      <c r="D22" s="72">
        <v>999000</v>
      </c>
      <c r="E22" s="72">
        <f>D22*B22</f>
        <v>3996000</v>
      </c>
      <c r="F22" s="99" t="s">
        <v>10</v>
      </c>
    </row>
    <row r="23" spans="2:6">
      <c r="B23" s="1"/>
      <c r="C23" s="32" t="s">
        <v>31</v>
      </c>
      <c r="D23" s="1"/>
      <c r="E23" s="1"/>
      <c r="F23" s="98">
        <f>E21+E22</f>
        <v>4065000</v>
      </c>
    </row>
    <row r="24" spans="2:6">
      <c r="B24" s="1"/>
      <c r="C24" s="60"/>
      <c r="D24" s="1"/>
      <c r="E24" s="1"/>
      <c r="F24" s="1"/>
    </row>
    <row r="25" spans="2:6">
      <c r="B25" s="1"/>
      <c r="C25" s="205" t="s">
        <v>32</v>
      </c>
      <c r="D25" s="1"/>
      <c r="E25" s="1"/>
      <c r="F25" s="1"/>
    </row>
    <row r="26" spans="2:6">
      <c r="B26" s="1">
        <v>200</v>
      </c>
      <c r="C26" s="108" t="s">
        <v>33</v>
      </c>
      <c r="D26" s="72">
        <v>10000</v>
      </c>
      <c r="E26" s="72">
        <f>D26*B26</f>
        <v>2000000</v>
      </c>
      <c r="F26" s="1" t="s">
        <v>34</v>
      </c>
    </row>
    <row r="27" spans="2:6">
      <c r="B27" s="1">
        <v>200</v>
      </c>
      <c r="C27" s="108" t="s">
        <v>35</v>
      </c>
      <c r="D27" s="72">
        <v>5000</v>
      </c>
      <c r="E27" s="72">
        <f>D27*B27</f>
        <v>1000000</v>
      </c>
      <c r="F27" s="109" t="s">
        <v>36</v>
      </c>
    </row>
    <row r="28" spans="2:6">
      <c r="B28" s="1">
        <v>200</v>
      </c>
      <c r="C28" s="108" t="s">
        <v>37</v>
      </c>
      <c r="D28" s="72">
        <v>2000</v>
      </c>
      <c r="E28" s="72">
        <f>D28*B28</f>
        <v>400000</v>
      </c>
      <c r="F28" s="1" t="s">
        <v>34</v>
      </c>
    </row>
    <row r="29" spans="2:6">
      <c r="B29" s="1">
        <v>300</v>
      </c>
      <c r="C29" s="1" t="s">
        <v>38</v>
      </c>
      <c r="D29" s="72">
        <v>5000</v>
      </c>
      <c r="E29" s="72">
        <f>D29*B29</f>
        <v>1500000</v>
      </c>
      <c r="F29" s="1" t="s">
        <v>34</v>
      </c>
    </row>
    <row r="30" spans="2:6">
      <c r="B30" s="1">
        <v>300</v>
      </c>
      <c r="C30" s="1" t="s">
        <v>39</v>
      </c>
      <c r="D30" s="72">
        <v>10000</v>
      </c>
      <c r="E30" s="72">
        <f>D30*B30</f>
        <v>3000000</v>
      </c>
      <c r="F30" s="1" t="s">
        <v>34</v>
      </c>
    </row>
    <row r="31" spans="2:6">
      <c r="B31" s="1"/>
      <c r="C31" s="32" t="s">
        <v>40</v>
      </c>
      <c r="D31" s="1"/>
      <c r="E31" s="1"/>
      <c r="F31" s="98">
        <f>E26+E27+E28+E29+E30</f>
        <v>7900000</v>
      </c>
    </row>
    <row r="32" spans="2:6">
      <c r="B32" s="1"/>
      <c r="C32" s="207" t="s">
        <v>41</v>
      </c>
      <c r="D32" s="1"/>
      <c r="E32" s="1"/>
      <c r="F32" s="1"/>
    </row>
    <row r="33" spans="2:6">
      <c r="B33" s="1"/>
      <c r="C33" s="1" t="s">
        <v>42</v>
      </c>
      <c r="D33" s="127">
        <f>'F. F'!C6:F6+'F. F'!C15*7%</f>
        <v>4900000.0000000009</v>
      </c>
      <c r="E33" s="1"/>
      <c r="F33" s="1"/>
    </row>
    <row r="34" spans="2:6">
      <c r="B34" s="1"/>
      <c r="C34" s="1" t="s">
        <v>43</v>
      </c>
      <c r="D34" s="127">
        <v>10300</v>
      </c>
      <c r="E34" s="1"/>
      <c r="F34" s="1"/>
    </row>
    <row r="35" spans="2:6">
      <c r="B35" s="1"/>
      <c r="C35" s="1"/>
      <c r="D35" s="1"/>
      <c r="E35" s="1"/>
      <c r="F35" s="1"/>
    </row>
    <row r="36" spans="2:6">
      <c r="B36" s="1"/>
      <c r="C36" s="32" t="s">
        <v>44</v>
      </c>
      <c r="D36" s="1"/>
      <c r="E36" s="1"/>
      <c r="F36" s="98">
        <f>D33+D34</f>
        <v>4910300.0000000009</v>
      </c>
    </row>
    <row r="37" spans="2:6">
      <c r="B37" s="1"/>
      <c r="C37" s="205" t="s">
        <v>45</v>
      </c>
      <c r="D37" s="1"/>
      <c r="E37" s="1"/>
      <c r="F37" s="1"/>
    </row>
    <row r="38" spans="2:6">
      <c r="B38" s="1">
        <v>12</v>
      </c>
      <c r="C38" s="1" t="s">
        <v>46</v>
      </c>
      <c r="D38" s="72">
        <v>4200000</v>
      </c>
      <c r="E38" s="76">
        <f>B38*D38</f>
        <v>50400000</v>
      </c>
      <c r="F38" s="1"/>
    </row>
    <row r="39" spans="2:6">
      <c r="B39" s="1"/>
      <c r="C39" s="1"/>
      <c r="D39" s="1"/>
      <c r="E39" s="1"/>
      <c r="F39" s="1"/>
    </row>
    <row r="40" spans="2:6">
      <c r="B40" s="1"/>
      <c r="C40" s="32" t="s">
        <v>47</v>
      </c>
      <c r="D40" s="1"/>
      <c r="E40" s="1"/>
      <c r="F40" s="33"/>
    </row>
    <row r="41" spans="2:6">
      <c r="B41" s="34"/>
      <c r="C41" s="208" t="s">
        <v>48</v>
      </c>
      <c r="D41" s="34"/>
      <c r="E41" s="34"/>
      <c r="F41" s="100">
        <f>F13+F19+F23+F31+F36</f>
        <v>108841300</v>
      </c>
    </row>
  </sheetData>
  <mergeCells count="1">
    <mergeCell ref="B3:F4"/>
  </mergeCells>
  <hyperlinks>
    <hyperlink ref="F7" r:id="rId1" display="alkosto" xr:uid="{00000000-0004-0000-0000-000000000000}"/>
    <hyperlink ref="F12" r:id="rId2" display="mercado libre" xr:uid="{00000000-0004-0000-0000-000001000000}"/>
    <hyperlink ref="F8" r:id="rId3" display="mercado libre" xr:uid="{00000000-0004-0000-0000-000002000000}"/>
    <hyperlink ref="F9" r:id="rId4" display="mercado libre" xr:uid="{00000000-0004-0000-0000-000003000000}"/>
    <hyperlink ref="F15" r:id="rId5" display="homecenter" xr:uid="{00000000-0004-0000-0000-000004000000}"/>
    <hyperlink ref="F16" r:id="rId6" display="mercado libre" xr:uid="{00000000-0004-0000-0000-000005000000}"/>
    <hyperlink ref="F18" r:id="rId7" display="mercado libre" xr:uid="{00000000-0004-0000-0000-000006000000}"/>
    <hyperlink ref="F17" r:id="rId8" xr:uid="{00000000-0004-0000-0000-000007000000}"/>
    <hyperlink ref="F22" r:id="rId9" xr:uid="{00000000-0004-0000-0000-000008000000}"/>
    <hyperlink ref="F21" r:id="rId10" xr:uid="{00000000-0004-0000-0000-000009000000}"/>
  </hyperlinks>
  <pageMargins left="0.7" right="0.7" top="0.75" bottom="0.75" header="0.3" footer="0.3"/>
  <pageSetup orientation="portrait" r:id="rId11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6" tint="-0.249977111117893"/>
  </sheetPr>
  <dimension ref="B1:D33"/>
  <sheetViews>
    <sheetView topLeftCell="A14" zoomScale="110" zoomScaleNormal="110" workbookViewId="0">
      <selection activeCell="F35" sqref="F35"/>
    </sheetView>
  </sheetViews>
  <sheetFormatPr defaultColWidth="11.42578125" defaultRowHeight="15"/>
  <cols>
    <col min="2" max="2" width="54.85546875" customWidth="1"/>
    <col min="3" max="3" width="16.28515625" customWidth="1"/>
    <col min="4" max="4" width="15" customWidth="1"/>
  </cols>
  <sheetData>
    <row r="1" spans="2:4" ht="15.75" thickBot="1"/>
    <row r="2" spans="2:4" ht="19.5" thickBot="1">
      <c r="B2" s="349" t="s">
        <v>220</v>
      </c>
      <c r="C2" s="350"/>
      <c r="D2" s="351"/>
    </row>
    <row r="3" spans="2:4" ht="18.75">
      <c r="B3" s="352" t="s">
        <v>79</v>
      </c>
      <c r="C3" s="353"/>
      <c r="D3" s="354"/>
    </row>
    <row r="4" spans="2:4" ht="18.75">
      <c r="B4" s="355" t="s">
        <v>221</v>
      </c>
      <c r="C4" s="356"/>
      <c r="D4" s="357"/>
    </row>
    <row r="5" spans="2:4">
      <c r="B5" s="48" t="s">
        <v>222</v>
      </c>
      <c r="D5" s="40"/>
    </row>
    <row r="6" spans="2:4">
      <c r="B6" s="48" t="s">
        <v>223</v>
      </c>
      <c r="D6" s="40"/>
    </row>
    <row r="7" spans="2:4">
      <c r="B7" s="49" t="s">
        <v>224</v>
      </c>
      <c r="C7" s="96">
        <f>'FLUJO DE CAJA'!J3</f>
        <v>250000000</v>
      </c>
      <c r="D7" s="40"/>
    </row>
    <row r="8" spans="2:4">
      <c r="B8" s="48" t="s">
        <v>225</v>
      </c>
      <c r="C8" s="37"/>
      <c r="D8" s="40"/>
    </row>
    <row r="9" spans="2:4">
      <c r="B9" s="49" t="s">
        <v>226</v>
      </c>
      <c r="C9" s="37">
        <v>0</v>
      </c>
      <c r="D9" s="40"/>
    </row>
    <row r="10" spans="2:4">
      <c r="B10" s="49" t="s">
        <v>227</v>
      </c>
      <c r="C10" s="37">
        <v>0</v>
      </c>
      <c r="D10" s="40"/>
    </row>
    <row r="11" spans="2:4">
      <c r="B11" s="50" t="s">
        <v>228</v>
      </c>
      <c r="C11" s="37"/>
      <c r="D11" s="226">
        <f>SUM(C7:C10)</f>
        <v>250000000</v>
      </c>
    </row>
    <row r="12" spans="2:4">
      <c r="B12" s="48" t="s">
        <v>229</v>
      </c>
      <c r="C12" s="37"/>
      <c r="D12" s="51"/>
    </row>
    <row r="13" spans="2:4">
      <c r="B13" s="49" t="s">
        <v>203</v>
      </c>
      <c r="C13" s="217">
        <f>'FLUJO DE CAJA'!J10</f>
        <v>50000000</v>
      </c>
      <c r="D13" s="51"/>
    </row>
    <row r="14" spans="2:4">
      <c r="B14" s="49" t="s">
        <v>129</v>
      </c>
      <c r="C14" s="217">
        <f>'FLUJO DE CAJA'!J17</f>
        <v>2200000</v>
      </c>
      <c r="D14" s="227"/>
    </row>
    <row r="15" spans="2:4">
      <c r="B15" s="49" t="s">
        <v>230</v>
      </c>
      <c r="C15" s="217"/>
      <c r="D15" s="227">
        <f>SUM(C13:C14)</f>
        <v>52200000</v>
      </c>
    </row>
    <row r="16" spans="2:4">
      <c r="B16" s="50" t="s">
        <v>231</v>
      </c>
      <c r="C16" s="37"/>
      <c r="D16" s="226">
        <f>D11-D15</f>
        <v>197800000</v>
      </c>
    </row>
    <row r="17" spans="2:4">
      <c r="B17" s="48" t="s">
        <v>232</v>
      </c>
      <c r="C17" s="37"/>
      <c r="D17" s="51"/>
    </row>
    <row r="18" spans="2:4">
      <c r="B18" s="48" t="s">
        <v>233</v>
      </c>
      <c r="C18" s="37"/>
      <c r="D18" s="51"/>
    </row>
    <row r="19" spans="2:4">
      <c r="B19" s="49" t="s">
        <v>234</v>
      </c>
      <c r="C19" s="96">
        <f>'CF-GA'!E7</f>
        <v>2400000</v>
      </c>
      <c r="D19" s="51"/>
    </row>
    <row r="20" spans="2:4">
      <c r="B20" s="52" t="s">
        <v>235</v>
      </c>
      <c r="C20" s="96">
        <f>'CF-GA'!E10</f>
        <v>4166666</v>
      </c>
      <c r="D20" s="51"/>
    </row>
    <row r="21" spans="2:4">
      <c r="B21" s="49" t="s">
        <v>236</v>
      </c>
      <c r="C21" s="96">
        <f>'CF-GA'!E6</f>
        <v>2500000</v>
      </c>
      <c r="D21" s="51"/>
    </row>
    <row r="22" spans="2:4">
      <c r="B22" s="49" t="s">
        <v>237</v>
      </c>
      <c r="C22" s="96">
        <f>1000000</f>
        <v>1000000</v>
      </c>
      <c r="D22" s="51"/>
    </row>
    <row r="23" spans="2:4">
      <c r="B23" s="49" t="s">
        <v>238</v>
      </c>
      <c r="C23" s="96">
        <v>850000</v>
      </c>
      <c r="D23" s="40"/>
    </row>
    <row r="24" spans="2:4">
      <c r="B24" s="49" t="s">
        <v>239</v>
      </c>
      <c r="C24" s="219">
        <f>D!E14</f>
        <v>47575350</v>
      </c>
      <c r="D24" s="40"/>
    </row>
    <row r="25" spans="2:4">
      <c r="B25" s="49" t="s">
        <v>240</v>
      </c>
      <c r="C25" s="218">
        <v>0</v>
      </c>
      <c r="D25" s="40"/>
    </row>
    <row r="26" spans="2:4">
      <c r="B26" s="49" t="s">
        <v>241</v>
      </c>
      <c r="C26" s="220">
        <f>'CF-GA'!C16</f>
        <v>4640172.4085866669</v>
      </c>
      <c r="D26" s="40"/>
    </row>
    <row r="27" spans="2:4">
      <c r="B27" s="48" t="s">
        <v>242</v>
      </c>
      <c r="C27" s="53"/>
      <c r="D27" s="40"/>
    </row>
    <row r="28" spans="2:4">
      <c r="B28" s="49" t="s">
        <v>243</v>
      </c>
      <c r="C28" s="219">
        <f>'FLUJO DE CAJA'!C6</f>
        <v>20759481.252692487</v>
      </c>
      <c r="D28" s="40"/>
    </row>
    <row r="29" spans="2:4">
      <c r="B29" s="49" t="s">
        <v>244</v>
      </c>
      <c r="C29" s="221">
        <f>'FLUJO DE CAJA'!C15</f>
        <v>8692296.2337428238</v>
      </c>
      <c r="D29" s="222"/>
    </row>
    <row r="30" spans="2:4">
      <c r="B30" s="228" t="s">
        <v>245</v>
      </c>
      <c r="C30" s="223"/>
      <c r="D30" s="229">
        <f>SUM(C19:C29)</f>
        <v>92583965.895021975</v>
      </c>
    </row>
    <row r="31" spans="2:4">
      <c r="B31" s="230" t="s">
        <v>246</v>
      </c>
      <c r="C31" s="224"/>
      <c r="D31" s="231">
        <f>D16-D30</f>
        <v>105216034.10497802</v>
      </c>
    </row>
    <row r="32" spans="2:4">
      <c r="B32" s="232" t="s">
        <v>247</v>
      </c>
      <c r="C32" s="225"/>
      <c r="D32" s="233">
        <f>'FLUJO DE CAJA'!C8</f>
        <v>20000000</v>
      </c>
    </row>
    <row r="33" spans="2:4" ht="15.75" thickBot="1">
      <c r="B33" s="358" t="s">
        <v>248</v>
      </c>
      <c r="C33" s="359"/>
      <c r="D33" s="234">
        <f>D31-D32</f>
        <v>85216034.104978025</v>
      </c>
    </row>
  </sheetData>
  <mergeCells count="4">
    <mergeCell ref="B2:D2"/>
    <mergeCell ref="B3:D3"/>
    <mergeCell ref="B4:D4"/>
    <mergeCell ref="B33:C33"/>
  </mergeCells>
  <pageMargins left="0.7" right="0.7" top="0.75" bottom="0.75" header="0.3" footer="0.3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/>
  </sheetPr>
  <dimension ref="B3:F15"/>
  <sheetViews>
    <sheetView workbookViewId="0">
      <selection activeCell="E19" sqref="E19"/>
    </sheetView>
  </sheetViews>
  <sheetFormatPr defaultColWidth="11.42578125" defaultRowHeight="15"/>
  <cols>
    <col min="2" max="2" width="31.140625" customWidth="1"/>
    <col min="3" max="3" width="14.7109375" customWidth="1"/>
    <col min="4" max="4" width="15.85546875" customWidth="1"/>
    <col min="6" max="6" width="17.85546875" customWidth="1"/>
  </cols>
  <sheetData>
    <row r="3" spans="2:6" ht="15.75" thickBot="1"/>
    <row r="4" spans="2:6">
      <c r="B4" s="255" t="s">
        <v>49</v>
      </c>
      <c r="C4" s="256"/>
      <c r="D4" s="256"/>
      <c r="E4" s="256"/>
      <c r="F4" s="257"/>
    </row>
    <row r="5" spans="2:6">
      <c r="B5" s="258"/>
      <c r="C5" s="259"/>
      <c r="D5" s="259"/>
      <c r="E5" s="259"/>
      <c r="F5" s="260"/>
    </row>
    <row r="6" spans="2:6" ht="18.75">
      <c r="B6" s="240" t="s">
        <v>50</v>
      </c>
      <c r="C6" s="261">
        <v>80000000</v>
      </c>
      <c r="D6" s="262"/>
      <c r="E6" s="262"/>
      <c r="F6" s="263"/>
    </row>
    <row r="7" spans="2:6" ht="31.5">
      <c r="B7" s="241" t="s">
        <v>51</v>
      </c>
      <c r="C7" s="236" t="s">
        <v>52</v>
      </c>
      <c r="D7" s="237" t="s">
        <v>53</v>
      </c>
      <c r="E7" s="235" t="s">
        <v>54</v>
      </c>
      <c r="F7" s="242" t="s">
        <v>55</v>
      </c>
    </row>
    <row r="8" spans="2:6" ht="15.75">
      <c r="B8" s="243" t="s">
        <v>56</v>
      </c>
      <c r="C8" s="238" t="s">
        <v>57</v>
      </c>
      <c r="D8" s="238">
        <v>60</v>
      </c>
      <c r="E8" s="239">
        <v>0.30909999999999999</v>
      </c>
      <c r="F8" s="244">
        <v>2454315</v>
      </c>
    </row>
    <row r="9" spans="2:6" ht="15.75">
      <c r="B9" s="245"/>
      <c r="C9" s="61"/>
      <c r="D9" s="61"/>
      <c r="E9" s="107"/>
      <c r="F9" s="246"/>
    </row>
    <row r="10" spans="2:6" ht="15.75">
      <c r="B10" s="247"/>
      <c r="C10" s="61"/>
      <c r="D10" s="61"/>
      <c r="E10" s="61"/>
      <c r="F10" s="248"/>
    </row>
    <row r="11" spans="2:6">
      <c r="B11" s="35"/>
      <c r="C11" s="1"/>
      <c r="D11" s="1"/>
      <c r="E11" s="1"/>
      <c r="F11" s="249"/>
    </row>
    <row r="12" spans="2:6">
      <c r="B12" s="252" t="s">
        <v>58</v>
      </c>
      <c r="C12" s="1"/>
      <c r="D12" s="1"/>
      <c r="E12" s="1"/>
      <c r="F12" s="1"/>
    </row>
    <row r="13" spans="2:6">
      <c r="B13" s="35" t="s">
        <v>59</v>
      </c>
      <c r="C13" s="72">
        <v>30000000</v>
      </c>
      <c r="D13" s="1"/>
      <c r="E13" s="1"/>
      <c r="F13" s="1"/>
    </row>
    <row r="14" spans="2:6">
      <c r="B14" s="35" t="s">
        <v>60</v>
      </c>
      <c r="C14" s="76">
        <v>40000000</v>
      </c>
      <c r="D14" s="1"/>
      <c r="E14" s="1"/>
      <c r="F14" s="1"/>
    </row>
    <row r="15" spans="2:6" ht="15.75" thickBot="1">
      <c r="B15" s="250" t="s">
        <v>61</v>
      </c>
      <c r="C15" s="251">
        <f>C13+C14</f>
        <v>70000000</v>
      </c>
      <c r="D15" s="1"/>
      <c r="E15" s="1"/>
      <c r="F15" s="1"/>
    </row>
  </sheetData>
  <mergeCells count="2">
    <mergeCell ref="B4:F5"/>
    <mergeCell ref="C6:F6"/>
  </mergeCells>
  <pageMargins left="0.7" right="0.7" top="0.75" bottom="0.75" header="0.3" footer="0.3"/>
  <pageSetup orientation="portrait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0090"/>
  </sheetPr>
  <dimension ref="A3:I73"/>
  <sheetViews>
    <sheetView zoomScaleNormal="100" workbookViewId="0">
      <selection activeCell="A3" sqref="A3:D8"/>
    </sheetView>
  </sheetViews>
  <sheetFormatPr defaultColWidth="11.42578125" defaultRowHeight="15"/>
  <cols>
    <col min="2" max="2" width="18" customWidth="1"/>
    <col min="3" max="4" width="15.140625" customWidth="1"/>
    <col min="5" max="5" width="13.85546875" customWidth="1"/>
    <col min="6" max="6" width="14.140625" customWidth="1"/>
    <col min="7" max="7" width="17.7109375" customWidth="1"/>
  </cols>
  <sheetData>
    <row r="3" spans="1:9" s="58" customFormat="1" ht="24" thickBot="1">
      <c r="A3" s="264" t="s">
        <v>62</v>
      </c>
      <c r="B3" s="265"/>
      <c r="C3" s="265"/>
      <c r="D3" s="266"/>
      <c r="E3" s="149"/>
      <c r="F3" s="267"/>
      <c r="G3" s="267"/>
      <c r="H3" s="267"/>
      <c r="I3" s="267"/>
    </row>
    <row r="4" spans="1:9" ht="21.75" thickTop="1" thickBot="1">
      <c r="A4" s="180" t="s">
        <v>63</v>
      </c>
      <c r="B4" s="181"/>
      <c r="C4" s="182"/>
      <c r="D4" s="183" t="s">
        <v>64</v>
      </c>
      <c r="E4" s="150"/>
      <c r="F4" s="167"/>
      <c r="G4" s="168"/>
      <c r="H4" s="169"/>
      <c r="I4" s="170"/>
    </row>
    <row r="5" spans="1:9" ht="17.25" thickTop="1" thickBot="1">
      <c r="A5" s="180" t="s">
        <v>65</v>
      </c>
      <c r="B5" s="181"/>
      <c r="C5" s="182"/>
      <c r="D5" s="184" t="s">
        <v>66</v>
      </c>
      <c r="E5" s="151"/>
      <c r="F5" s="171"/>
      <c r="G5" s="172"/>
      <c r="H5" s="169"/>
      <c r="I5" s="173"/>
    </row>
    <row r="6" spans="1:9" ht="17.25" thickTop="1" thickBot="1">
      <c r="A6" s="180" t="s">
        <v>67</v>
      </c>
      <c r="B6" s="185"/>
      <c r="C6" s="186" t="s">
        <v>57</v>
      </c>
      <c r="D6" s="187">
        <v>2.2700000000000001E-2</v>
      </c>
      <c r="E6" s="151"/>
      <c r="F6" s="171"/>
      <c r="G6" s="174"/>
      <c r="H6" s="169"/>
      <c r="I6" s="173"/>
    </row>
    <row r="7" spans="1:9" ht="17.25" thickTop="1" thickBot="1">
      <c r="A7" s="180" t="s">
        <v>68</v>
      </c>
      <c r="B7" s="181"/>
      <c r="C7" s="188"/>
      <c r="D7" s="189">
        <v>80000000</v>
      </c>
      <c r="E7" s="151"/>
      <c r="F7" s="175"/>
      <c r="G7" s="176"/>
      <c r="H7" s="177"/>
      <c r="I7" s="178"/>
    </row>
    <row r="8" spans="1:9" ht="17.25" thickTop="1" thickBot="1">
      <c r="A8" s="180" t="s">
        <v>69</v>
      </c>
      <c r="B8" s="181"/>
      <c r="C8" s="188"/>
      <c r="D8" s="189">
        <v>60</v>
      </c>
      <c r="E8" s="151"/>
      <c r="F8" s="175"/>
      <c r="G8" s="176"/>
      <c r="H8" s="177"/>
      <c r="I8" s="179"/>
    </row>
    <row r="9" spans="1:9" ht="16.5" thickTop="1">
      <c r="B9" s="152" t="s">
        <v>70</v>
      </c>
      <c r="C9" s="153" t="s">
        <v>70</v>
      </c>
      <c r="D9" s="154"/>
      <c r="E9" s="151"/>
      <c r="F9" s="155"/>
      <c r="G9" s="156"/>
      <c r="H9" s="157"/>
      <c r="I9" s="158"/>
    </row>
    <row r="10" spans="1:9" ht="15.75">
      <c r="A10" s="268" t="s">
        <v>71</v>
      </c>
      <c r="B10" s="269"/>
      <c r="C10" s="269"/>
      <c r="D10" s="269"/>
      <c r="E10" s="269"/>
      <c r="F10" s="269"/>
      <c r="G10" s="151"/>
      <c r="H10" s="151"/>
      <c r="I10" s="159"/>
    </row>
    <row r="11" spans="1:9" ht="24">
      <c r="A11" s="160" t="s">
        <v>72</v>
      </c>
      <c r="B11" s="160" t="s">
        <v>73</v>
      </c>
      <c r="C11" s="160" t="s">
        <v>74</v>
      </c>
      <c r="D11" s="160" t="s">
        <v>75</v>
      </c>
      <c r="E11" s="160" t="s">
        <v>76</v>
      </c>
      <c r="F11" s="160" t="s">
        <v>77</v>
      </c>
      <c r="G11" s="151"/>
      <c r="H11" s="161"/>
      <c r="I11" s="159"/>
    </row>
    <row r="12" spans="1:9">
      <c r="A12" s="162">
        <v>1</v>
      </c>
      <c r="B12" s="163">
        <v>80000000</v>
      </c>
      <c r="C12" s="164">
        <v>2454314.7905362756</v>
      </c>
      <c r="D12" s="163">
        <v>1816000</v>
      </c>
      <c r="E12" s="163">
        <v>638314.7905362756</v>
      </c>
      <c r="F12" s="163">
        <v>79361685.20946373</v>
      </c>
      <c r="G12" s="165"/>
      <c r="I12" s="161"/>
    </row>
    <row r="13" spans="1:9">
      <c r="A13" s="162">
        <v>2</v>
      </c>
      <c r="B13" s="163">
        <v>79361685.20946373</v>
      </c>
      <c r="C13" s="166">
        <v>2454314.7905362756</v>
      </c>
      <c r="D13" s="163">
        <v>1801510.2542548268</v>
      </c>
      <c r="E13" s="163">
        <v>652804.53628144879</v>
      </c>
      <c r="F13" s="163">
        <v>78708880.673182279</v>
      </c>
      <c r="G13" s="151"/>
      <c r="H13" s="161"/>
      <c r="I13" s="161"/>
    </row>
    <row r="14" spans="1:9">
      <c r="A14" s="162">
        <v>3</v>
      </c>
      <c r="B14" s="163">
        <v>78708880.673182279</v>
      </c>
      <c r="C14" s="164">
        <v>2454314.7905362756</v>
      </c>
      <c r="D14" s="163">
        <v>1786691.5912812378</v>
      </c>
      <c r="E14" s="163">
        <v>667623.19925503782</v>
      </c>
      <c r="F14" s="163">
        <v>78041257.473927245</v>
      </c>
      <c r="G14" s="151"/>
      <c r="H14" s="161"/>
      <c r="I14" s="161"/>
    </row>
    <row r="15" spans="1:9">
      <c r="A15" s="162">
        <v>4</v>
      </c>
      <c r="B15" s="163">
        <v>78041257.473927245</v>
      </c>
      <c r="C15" s="166">
        <v>2454314.7905362756</v>
      </c>
      <c r="D15" s="163">
        <v>1771536.5446581487</v>
      </c>
      <c r="E15" s="163">
        <v>682778.24587812694</v>
      </c>
      <c r="F15" s="163">
        <v>77358479.228049114</v>
      </c>
      <c r="G15" s="151"/>
      <c r="H15" s="161"/>
      <c r="I15" s="161"/>
    </row>
    <row r="16" spans="1:9">
      <c r="A16" s="162">
        <v>5</v>
      </c>
      <c r="B16" s="163">
        <v>77358479.228049114</v>
      </c>
      <c r="C16" s="164">
        <v>2454314.7905362756</v>
      </c>
      <c r="D16" s="163">
        <v>1756037.478476715</v>
      </c>
      <c r="E16" s="163">
        <v>698277.31205956056</v>
      </c>
      <c r="F16" s="163">
        <v>76660201.915989548</v>
      </c>
      <c r="G16" s="151"/>
      <c r="H16" s="161"/>
      <c r="I16" s="161"/>
    </row>
    <row r="17" spans="1:9">
      <c r="A17" s="162">
        <v>6</v>
      </c>
      <c r="B17" s="163">
        <v>76660201.915989548</v>
      </c>
      <c r="C17" s="166">
        <v>2454314.7905362756</v>
      </c>
      <c r="D17" s="163">
        <v>1740186.5834929629</v>
      </c>
      <c r="E17" s="163">
        <v>714128.20704331272</v>
      </c>
      <c r="F17" s="163">
        <v>75946073.708946228</v>
      </c>
      <c r="G17" s="151"/>
      <c r="H17" s="161"/>
      <c r="I17" s="161"/>
    </row>
    <row r="18" spans="1:9">
      <c r="A18" s="162">
        <v>7</v>
      </c>
      <c r="B18" s="163">
        <v>75946073.708946228</v>
      </c>
      <c r="C18" s="164">
        <v>2454314.7905362756</v>
      </c>
      <c r="D18" s="163">
        <v>1723975.8731930794</v>
      </c>
      <c r="E18" s="163">
        <v>730338.91734319623</v>
      </c>
      <c r="F18" s="163">
        <v>75215734.791603029</v>
      </c>
      <c r="G18" s="151"/>
      <c r="H18" s="161"/>
      <c r="I18" s="161"/>
    </row>
    <row r="19" spans="1:9">
      <c r="A19" s="162">
        <v>8</v>
      </c>
      <c r="B19" s="163">
        <v>75215734.791603029</v>
      </c>
      <c r="C19" s="166">
        <v>2454314.7905362756</v>
      </c>
      <c r="D19" s="163">
        <v>1707397.1797693889</v>
      </c>
      <c r="E19" s="163">
        <v>746917.61076688673</v>
      </c>
      <c r="F19" s="163">
        <v>74468817.180836141</v>
      </c>
      <c r="G19" s="151"/>
      <c r="H19" s="161"/>
      <c r="I19" s="161"/>
    </row>
    <row r="20" spans="1:9">
      <c r="A20" s="162">
        <v>9</v>
      </c>
      <c r="B20" s="163">
        <v>74468817.180836141</v>
      </c>
      <c r="C20" s="164">
        <v>2454314.7905362756</v>
      </c>
      <c r="D20" s="163">
        <v>1690442.1500049806</v>
      </c>
      <c r="E20" s="163">
        <v>763872.64053129498</v>
      </c>
      <c r="F20" s="163">
        <v>73704944.54030484</v>
      </c>
      <c r="G20" s="151"/>
      <c r="H20" s="161"/>
      <c r="I20" s="161"/>
    </row>
    <row r="21" spans="1:9">
      <c r="A21" s="162">
        <v>10</v>
      </c>
      <c r="B21" s="163">
        <v>73704944.54030484</v>
      </c>
      <c r="C21" s="166">
        <v>2454314.7905362756</v>
      </c>
      <c r="D21" s="163">
        <v>1673102.2410649199</v>
      </c>
      <c r="E21" s="163">
        <v>781212.54947135574</v>
      </c>
      <c r="F21" s="163">
        <v>72923731.990833491</v>
      </c>
      <c r="G21" s="151"/>
      <c r="H21" s="161"/>
      <c r="I21" s="161"/>
    </row>
    <row r="22" spans="1:9">
      <c r="A22" s="162">
        <v>11</v>
      </c>
      <c r="B22" s="163">
        <v>72923731.990833491</v>
      </c>
      <c r="C22" s="164">
        <v>2454314.7905362756</v>
      </c>
      <c r="D22" s="163">
        <v>1655368.7161919205</v>
      </c>
      <c r="E22" s="163">
        <v>798946.07434435515</v>
      </c>
      <c r="F22" s="163">
        <v>72124785.916489139</v>
      </c>
      <c r="G22" s="151"/>
      <c r="H22" s="161"/>
      <c r="I22" s="161"/>
    </row>
    <row r="23" spans="1:9">
      <c r="A23" s="162">
        <v>12</v>
      </c>
      <c r="B23" s="163">
        <v>72124785.916489139</v>
      </c>
      <c r="C23" s="166">
        <v>2454314.7905362756</v>
      </c>
      <c r="D23" s="163">
        <v>1637232.6403043035</v>
      </c>
      <c r="E23" s="163">
        <v>817082.1502319721</v>
      </c>
      <c r="F23" s="163">
        <v>71307703.766257167</v>
      </c>
      <c r="G23" s="165">
        <f>D12+D13+D14+D15+D16+D17+D18+D19+D20+D21+D22+D23</f>
        <v>20759481.252692487</v>
      </c>
      <c r="H23" s="191">
        <f>E12+E13+E14+E15+E16+E17+E18+E19+E20+E21+E22+E23</f>
        <v>8692296.2337428238</v>
      </c>
      <c r="I23" s="161"/>
    </row>
    <row r="24" spans="1:9">
      <c r="A24" s="162">
        <v>13</v>
      </c>
      <c r="B24" s="163">
        <v>71307703.766257167</v>
      </c>
      <c r="C24" s="164">
        <v>2454314.7905362756</v>
      </c>
      <c r="D24" s="163">
        <v>1618684.8754940378</v>
      </c>
      <c r="E24" s="163">
        <v>835629.91504223784</v>
      </c>
      <c r="F24" s="163">
        <v>70472073.85121493</v>
      </c>
      <c r="G24" s="151"/>
      <c r="H24" s="161"/>
      <c r="I24" s="161"/>
    </row>
    <row r="25" spans="1:9">
      <c r="A25" s="162">
        <v>14</v>
      </c>
      <c r="B25" s="163">
        <v>70472073.85121493</v>
      </c>
      <c r="C25" s="166">
        <v>2454314.7905362756</v>
      </c>
      <c r="D25" s="163">
        <v>1599716.0764225791</v>
      </c>
      <c r="E25" s="163">
        <v>854598.71411369648</v>
      </c>
      <c r="F25" s="163">
        <v>69617475.137101233</v>
      </c>
      <c r="G25" s="151"/>
      <c r="H25" s="161"/>
      <c r="I25" s="161"/>
    </row>
    <row r="26" spans="1:9">
      <c r="A26" s="162">
        <v>15</v>
      </c>
      <c r="B26" s="163">
        <v>69617475.137101233</v>
      </c>
      <c r="C26" s="164">
        <v>2454314.7905362756</v>
      </c>
      <c r="D26" s="163">
        <v>1580316.6856121982</v>
      </c>
      <c r="E26" s="163">
        <v>873998.1049240774</v>
      </c>
      <c r="F26" s="163">
        <v>68743477.03217715</v>
      </c>
      <c r="G26" s="151"/>
      <c r="H26" s="161"/>
      <c r="I26" s="161"/>
    </row>
    <row r="27" spans="1:9">
      <c r="A27" s="162">
        <v>16</v>
      </c>
      <c r="B27" s="163">
        <v>68743477.03217715</v>
      </c>
      <c r="C27" s="166">
        <v>2454314.7905362756</v>
      </c>
      <c r="D27" s="163">
        <v>1560476.9286304214</v>
      </c>
      <c r="E27" s="163">
        <v>893837.8619058542</v>
      </c>
      <c r="F27" s="163">
        <v>67849639.170271292</v>
      </c>
      <c r="G27" s="151"/>
      <c r="H27" s="161"/>
      <c r="I27" s="161"/>
    </row>
    <row r="28" spans="1:9">
      <c r="A28" s="162">
        <v>17</v>
      </c>
      <c r="B28" s="163">
        <v>67849639.170271292</v>
      </c>
      <c r="C28" s="164">
        <v>2454314.7905362756</v>
      </c>
      <c r="D28" s="163">
        <v>1540186.8091651585</v>
      </c>
      <c r="E28" s="163">
        <v>914127.98137111706</v>
      </c>
      <c r="F28" s="163">
        <v>66935511.188900173</v>
      </c>
      <c r="G28" s="151"/>
      <c r="H28" s="161"/>
      <c r="I28" s="161"/>
    </row>
    <row r="29" spans="1:9">
      <c r="A29" s="162">
        <v>18</v>
      </c>
      <c r="B29" s="163">
        <v>66935511.188900173</v>
      </c>
      <c r="C29" s="166">
        <v>2454314.7905362756</v>
      </c>
      <c r="D29" s="163">
        <v>1519436.103988034</v>
      </c>
      <c r="E29" s="163">
        <v>934878.68654824165</v>
      </c>
      <c r="F29" s="163">
        <v>66000632.502351932</v>
      </c>
      <c r="G29" s="151"/>
      <c r="H29" s="161"/>
      <c r="I29" s="161"/>
    </row>
    <row r="30" spans="1:9">
      <c r="A30" s="162">
        <v>19</v>
      </c>
      <c r="B30" s="163">
        <v>66000632.502351932</v>
      </c>
      <c r="C30" s="164">
        <v>2454314.7905362756</v>
      </c>
      <c r="D30" s="163">
        <v>1498214.357803389</v>
      </c>
      <c r="E30" s="163">
        <v>956100.43273288663</v>
      </c>
      <c r="F30" s="163">
        <v>65044532.069619045</v>
      </c>
      <c r="G30" s="151"/>
      <c r="H30" s="161"/>
      <c r="I30" s="161"/>
    </row>
    <row r="31" spans="1:9">
      <c r="A31" s="162">
        <v>20</v>
      </c>
      <c r="B31" s="163">
        <v>65044532.069619045</v>
      </c>
      <c r="C31" s="166">
        <v>2454314.7905362756</v>
      </c>
      <c r="D31" s="163">
        <v>1476510.8779803524</v>
      </c>
      <c r="E31" s="163">
        <v>977803.91255592322</v>
      </c>
      <c r="F31" s="163">
        <v>64066728.157063119</v>
      </c>
      <c r="G31" s="151"/>
      <c r="H31" s="161"/>
      <c r="I31" s="161"/>
    </row>
    <row r="32" spans="1:9">
      <c r="A32" s="162">
        <v>21</v>
      </c>
      <c r="B32" s="163">
        <v>64066728.157063119</v>
      </c>
      <c r="C32" s="164">
        <v>2454314.7905362756</v>
      </c>
      <c r="D32" s="163">
        <v>1454314.7291653329</v>
      </c>
      <c r="E32" s="163">
        <v>1000000.0613709427</v>
      </c>
      <c r="F32" s="163">
        <v>63066728.095692173</v>
      </c>
      <c r="G32" s="151"/>
      <c r="H32" s="161"/>
      <c r="I32" s="161"/>
    </row>
    <row r="33" spans="1:9">
      <c r="A33" s="162">
        <v>22</v>
      </c>
      <c r="B33" s="163">
        <v>63066728.095692173</v>
      </c>
      <c r="C33" s="166">
        <v>2454314.7905362756</v>
      </c>
      <c r="D33" s="163">
        <v>1431614.7277722124</v>
      </c>
      <c r="E33" s="163">
        <v>1022700.0627640632</v>
      </c>
      <c r="F33" s="163">
        <v>62044028.032928109</v>
      </c>
      <c r="G33" s="151"/>
      <c r="H33" s="161"/>
      <c r="I33" s="161"/>
    </row>
    <row r="34" spans="1:9">
      <c r="A34" s="162">
        <v>23</v>
      </c>
      <c r="B34" s="163">
        <v>62044028.032928109</v>
      </c>
      <c r="C34" s="164">
        <v>2454314.7905362756</v>
      </c>
      <c r="D34" s="163">
        <v>1408399.4363474681</v>
      </c>
      <c r="E34" s="163">
        <v>1045915.3541888075</v>
      </c>
      <c r="F34" s="163">
        <v>60998112.678739302</v>
      </c>
      <c r="G34" s="151"/>
      <c r="H34" s="161"/>
      <c r="I34" s="161"/>
    </row>
    <row r="35" spans="1:9">
      <c r="A35" s="162">
        <v>24</v>
      </c>
      <c r="B35" s="163">
        <v>60998112.678739302</v>
      </c>
      <c r="C35" s="166">
        <v>2454314.7905362756</v>
      </c>
      <c r="D35" s="163">
        <v>1384657.1578073823</v>
      </c>
      <c r="E35" s="163">
        <v>1069657.6327288933</v>
      </c>
      <c r="F35" s="163">
        <v>59928455.046010405</v>
      </c>
      <c r="G35" s="165">
        <f>D24+D25+D26+D27+D28+D29+D30+D31+D32+D33+D34+D35</f>
        <v>18072528.766188566</v>
      </c>
      <c r="H35" s="191">
        <f>E24+E25+E26+E27+E28+E29+E30+E31+E32+E33+E34+E35</f>
        <v>11379248.720246742</v>
      </c>
      <c r="I35" s="161"/>
    </row>
    <row r="36" spans="1:9">
      <c r="A36" s="162">
        <v>25</v>
      </c>
      <c r="B36" s="163">
        <v>59928455.046010405</v>
      </c>
      <c r="C36" s="164">
        <v>2454314.7905362756</v>
      </c>
      <c r="D36" s="163">
        <v>1360375.9295444363</v>
      </c>
      <c r="E36" s="163">
        <v>1093938.8609918393</v>
      </c>
      <c r="F36" s="163">
        <v>58834516.185018569</v>
      </c>
      <c r="G36" s="151"/>
      <c r="H36" s="161"/>
      <c r="I36" s="161"/>
    </row>
    <row r="37" spans="1:9">
      <c r="A37" s="162">
        <v>26</v>
      </c>
      <c r="B37" s="163">
        <v>58834516.185018569</v>
      </c>
      <c r="C37" s="166">
        <v>2454314.7905362756</v>
      </c>
      <c r="D37" s="163">
        <v>1335543.5173999215</v>
      </c>
      <c r="E37" s="163">
        <v>1118771.2731363541</v>
      </c>
      <c r="F37" s="163">
        <v>57715744.911882214</v>
      </c>
      <c r="G37" s="151"/>
      <c r="H37" s="161"/>
      <c r="I37" s="161"/>
    </row>
    <row r="38" spans="1:9">
      <c r="A38" s="162">
        <v>27</v>
      </c>
      <c r="B38" s="163">
        <v>57715744.911882214</v>
      </c>
      <c r="C38" s="164">
        <v>2454314.7905362756</v>
      </c>
      <c r="D38" s="163">
        <v>1310147.4094997263</v>
      </c>
      <c r="E38" s="163">
        <v>1144167.3810365493</v>
      </c>
      <c r="F38" s="163">
        <v>56571577.530845664</v>
      </c>
      <c r="G38" s="151"/>
      <c r="H38" s="161"/>
      <c r="I38" s="161"/>
    </row>
    <row r="39" spans="1:9">
      <c r="A39" s="162">
        <v>28</v>
      </c>
      <c r="B39" s="163">
        <v>56571577.530845664</v>
      </c>
      <c r="C39" s="166">
        <v>2454314.7905362756</v>
      </c>
      <c r="D39" s="163">
        <v>1284174.8099501966</v>
      </c>
      <c r="E39" s="163">
        <v>1170139.9805860789</v>
      </c>
      <c r="F39" s="163">
        <v>55401437.550259583</v>
      </c>
      <c r="G39" s="151"/>
      <c r="H39" s="161"/>
      <c r="I39" s="161"/>
    </row>
    <row r="40" spans="1:9">
      <c r="A40" s="162">
        <v>29</v>
      </c>
      <c r="B40" s="163">
        <v>55401437.550259583</v>
      </c>
      <c r="C40" s="164">
        <v>2454314.7905362756</v>
      </c>
      <c r="D40" s="163">
        <v>1257612.6323908926</v>
      </c>
      <c r="E40" s="163">
        <v>1196702.158145383</v>
      </c>
      <c r="F40" s="163">
        <v>54204735.3921142</v>
      </c>
      <c r="G40" s="151"/>
      <c r="H40" s="161"/>
      <c r="I40" s="161"/>
    </row>
    <row r="41" spans="1:9">
      <c r="A41" s="162">
        <v>30</v>
      </c>
      <c r="B41" s="163">
        <v>54204735.3921142</v>
      </c>
      <c r="C41" s="166">
        <v>2454314.7905362756</v>
      </c>
      <c r="D41" s="163">
        <v>1230447.4934009924</v>
      </c>
      <c r="E41" s="163">
        <v>1223867.2971352832</v>
      </c>
      <c r="F41" s="163">
        <v>52980868.094978914</v>
      </c>
      <c r="G41" s="151"/>
      <c r="H41" s="161"/>
      <c r="I41" s="161"/>
    </row>
    <row r="42" spans="1:9">
      <c r="A42" s="162">
        <v>31</v>
      </c>
      <c r="B42" s="163">
        <v>52980868.094978914</v>
      </c>
      <c r="C42" s="164">
        <v>2454314.7905362756</v>
      </c>
      <c r="D42" s="163">
        <v>1202665.7057560214</v>
      </c>
      <c r="E42" s="163">
        <v>1251649.0847802542</v>
      </c>
      <c r="F42" s="163">
        <v>51729219.01019866</v>
      </c>
      <c r="G42" s="151"/>
      <c r="H42" s="161"/>
      <c r="I42" s="161"/>
    </row>
    <row r="43" spans="1:9">
      <c r="A43" s="162">
        <v>32</v>
      </c>
      <c r="B43" s="163">
        <v>51729219.01019866</v>
      </c>
      <c r="C43" s="166">
        <v>2454314.7905362756</v>
      </c>
      <c r="D43" s="163">
        <v>1174253.2715315097</v>
      </c>
      <c r="E43" s="163">
        <v>1280061.5190047659</v>
      </c>
      <c r="F43" s="163">
        <v>50449157.491193891</v>
      </c>
      <c r="G43" s="151"/>
      <c r="H43" s="161"/>
      <c r="I43" s="161"/>
    </row>
    <row r="44" spans="1:9">
      <c r="A44" s="162">
        <v>33</v>
      </c>
      <c r="B44" s="163">
        <v>50449157.491193891</v>
      </c>
      <c r="C44" s="164">
        <v>2454314.7905362756</v>
      </c>
      <c r="D44" s="163">
        <v>1145195.8750501014</v>
      </c>
      <c r="E44" s="163">
        <v>1309118.9154861742</v>
      </c>
      <c r="F44" s="163">
        <v>49140038.575707719</v>
      </c>
      <c r="G44" s="151"/>
      <c r="H44" s="161"/>
      <c r="I44" s="161"/>
    </row>
    <row r="45" spans="1:9">
      <c r="A45" s="162">
        <v>34</v>
      </c>
      <c r="B45" s="163">
        <v>49140038.575707719</v>
      </c>
      <c r="C45" s="166">
        <v>2454314.7905362756</v>
      </c>
      <c r="D45" s="163">
        <v>1115478.8756685653</v>
      </c>
      <c r="E45" s="163">
        <v>1338835.9148677103</v>
      </c>
      <c r="F45" s="163">
        <v>47801202.660840005</v>
      </c>
      <c r="G45" s="151"/>
      <c r="H45" s="161"/>
      <c r="I45" s="161"/>
    </row>
    <row r="46" spans="1:9">
      <c r="A46" s="162">
        <v>35</v>
      </c>
      <c r="B46" s="163">
        <v>47801202.660840005</v>
      </c>
      <c r="C46" s="164">
        <v>2454314.7905362756</v>
      </c>
      <c r="D46" s="163">
        <v>1085087.3004010681</v>
      </c>
      <c r="E46" s="163">
        <v>1369227.4901352075</v>
      </c>
      <c r="F46" s="163">
        <v>46431975.170704797</v>
      </c>
      <c r="G46" s="151"/>
      <c r="H46" s="161"/>
      <c r="I46" s="161"/>
    </row>
    <row r="47" spans="1:9">
      <c r="A47" s="162">
        <v>36</v>
      </c>
      <c r="B47" s="163">
        <v>46431975.170704797</v>
      </c>
      <c r="C47" s="166">
        <v>2454314.7905362756</v>
      </c>
      <c r="D47" s="163">
        <v>1054005.836374999</v>
      </c>
      <c r="E47" s="163">
        <v>1400308.9541612766</v>
      </c>
      <c r="F47" s="163">
        <v>45031666.216543518</v>
      </c>
      <c r="G47" s="165">
        <f>D36+D37+D38+D39+D40+D41+D42++D43+D44+D45+D46+D47</f>
        <v>14554988.65696843</v>
      </c>
      <c r="H47" s="191">
        <f>SUM(E36:E47)</f>
        <v>14896788.829466878</v>
      </c>
      <c r="I47" s="161"/>
    </row>
    <row r="48" spans="1:9">
      <c r="A48" s="162">
        <v>37</v>
      </c>
      <c r="B48" s="163">
        <v>45031666.216543518</v>
      </c>
      <c r="C48" s="164">
        <v>2454314.7905362756</v>
      </c>
      <c r="D48" s="163">
        <v>1022218.8231155379</v>
      </c>
      <c r="E48" s="163">
        <v>1432095.9674207377</v>
      </c>
      <c r="F48" s="163">
        <v>43599570.249122784</v>
      </c>
      <c r="G48" s="151"/>
      <c r="H48" s="151"/>
      <c r="I48" s="151"/>
    </row>
    <row r="49" spans="1:9">
      <c r="A49" s="162">
        <v>38</v>
      </c>
      <c r="B49" s="163">
        <v>43599570.249122784</v>
      </c>
      <c r="C49" s="166">
        <v>2454314.7905362756</v>
      </c>
      <c r="D49" s="163">
        <v>989710.24465508724</v>
      </c>
      <c r="E49" s="163">
        <v>1464604.5458811885</v>
      </c>
      <c r="F49" s="163">
        <v>42134965.703241594</v>
      </c>
      <c r="G49" s="151"/>
      <c r="H49" s="151"/>
      <c r="I49" s="151"/>
    </row>
    <row r="50" spans="1:9">
      <c r="A50" s="162">
        <v>39</v>
      </c>
      <c r="B50" s="163">
        <v>42134965.703241594</v>
      </c>
      <c r="C50" s="164">
        <v>2454314.7905362756</v>
      </c>
      <c r="D50" s="163">
        <v>956463.72146358422</v>
      </c>
      <c r="E50" s="163">
        <v>1497851.0690726913</v>
      </c>
      <c r="F50" s="163">
        <v>40637114.634168901</v>
      </c>
      <c r="G50" s="151"/>
      <c r="H50" s="151"/>
      <c r="I50" s="151"/>
    </row>
    <row r="51" spans="1:9">
      <c r="A51" s="162">
        <v>40</v>
      </c>
      <c r="B51" s="163">
        <v>40637114.634168901</v>
      </c>
      <c r="C51" s="166">
        <v>2454314.7905362756</v>
      </c>
      <c r="D51" s="163">
        <v>922462.50219563406</v>
      </c>
      <c r="E51" s="163">
        <v>1531852.2883406417</v>
      </c>
      <c r="F51" s="163">
        <v>39105262.345828258</v>
      </c>
      <c r="G51" s="151"/>
      <c r="H51" s="151"/>
      <c r="I51" s="151"/>
    </row>
    <row r="52" spans="1:9">
      <c r="A52" s="162">
        <v>41</v>
      </c>
      <c r="B52" s="163">
        <v>39105262.345828258</v>
      </c>
      <c r="C52" s="164">
        <v>2454314.7905362756</v>
      </c>
      <c r="D52" s="163">
        <v>887689.45525030151</v>
      </c>
      <c r="E52" s="163">
        <v>1566625.3352859742</v>
      </c>
      <c r="F52" s="163">
        <v>37538637.010542281</v>
      </c>
      <c r="G52" s="151"/>
      <c r="H52" s="151"/>
      <c r="I52" s="151"/>
    </row>
    <row r="53" spans="1:9">
      <c r="A53" s="162">
        <v>42</v>
      </c>
      <c r="B53" s="163">
        <v>37538637.010542281</v>
      </c>
      <c r="C53" s="166">
        <v>2454314.7905362756</v>
      </c>
      <c r="D53" s="163">
        <v>852127.06013930985</v>
      </c>
      <c r="E53" s="163">
        <v>1602187.7303969658</v>
      </c>
      <c r="F53" s="163">
        <v>35936449.280145317</v>
      </c>
      <c r="G53" s="151"/>
      <c r="H53" s="151"/>
      <c r="I53" s="151"/>
    </row>
    <row r="54" spans="1:9">
      <c r="A54" s="162">
        <v>43</v>
      </c>
      <c r="B54" s="163">
        <v>35936449.280145317</v>
      </c>
      <c r="C54" s="164">
        <v>2454314.7905362756</v>
      </c>
      <c r="D54" s="163">
        <v>815757.39865929878</v>
      </c>
      <c r="E54" s="163">
        <v>1638557.3918769769</v>
      </c>
      <c r="F54" s="163">
        <v>34297891.888268337</v>
      </c>
      <c r="G54" s="151"/>
      <c r="H54" s="151"/>
      <c r="I54" s="151"/>
    </row>
    <row r="55" spans="1:9">
      <c r="A55" s="162">
        <v>44</v>
      </c>
      <c r="B55" s="163">
        <v>34297891.888268337</v>
      </c>
      <c r="C55" s="166">
        <v>2454314.7905362756</v>
      </c>
      <c r="D55" s="163">
        <v>778562.14586369134</v>
      </c>
      <c r="E55" s="163">
        <v>1675752.6446725843</v>
      </c>
      <c r="F55" s="163">
        <v>32622139.243595753</v>
      </c>
      <c r="G55" s="151"/>
      <c r="H55" s="151"/>
      <c r="I55" s="151"/>
    </row>
    <row r="56" spans="1:9">
      <c r="A56" s="162">
        <v>45</v>
      </c>
      <c r="B56" s="163">
        <v>32622139.243595753</v>
      </c>
      <c r="C56" s="164">
        <v>2454314.7905362756</v>
      </c>
      <c r="D56" s="163">
        <v>740522.5608296236</v>
      </c>
      <c r="E56" s="163">
        <v>1713792.229706652</v>
      </c>
      <c r="F56" s="163">
        <v>30908347.0138891</v>
      </c>
      <c r="G56" s="151"/>
      <c r="H56" s="151"/>
      <c r="I56" s="151"/>
    </row>
    <row r="57" spans="1:9">
      <c r="A57" s="162">
        <v>46</v>
      </c>
      <c r="B57" s="163">
        <v>30908347.0138891</v>
      </c>
      <c r="C57" s="166">
        <v>2454314.7905362756</v>
      </c>
      <c r="D57" s="163">
        <v>701619.47721528262</v>
      </c>
      <c r="E57" s="163">
        <v>1752695.313320993</v>
      </c>
      <c r="F57" s="163">
        <v>29155651.700568106</v>
      </c>
      <c r="G57" s="151"/>
      <c r="H57" s="151"/>
      <c r="I57" s="151"/>
    </row>
    <row r="58" spans="1:9">
      <c r="A58" s="162">
        <v>47</v>
      </c>
      <c r="B58" s="163">
        <v>29155651.700568106</v>
      </c>
      <c r="C58" s="164">
        <v>2454314.7905362756</v>
      </c>
      <c r="D58" s="163">
        <v>661833.29360289604</v>
      </c>
      <c r="E58" s="163">
        <v>1792481.4969333797</v>
      </c>
      <c r="F58" s="163">
        <v>27363170.203634728</v>
      </c>
      <c r="G58" s="151"/>
      <c r="H58" s="151"/>
      <c r="I58" s="151"/>
    </row>
    <row r="59" spans="1:9">
      <c r="A59" s="162">
        <v>48</v>
      </c>
      <c r="B59" s="163">
        <v>27363170.203634728</v>
      </c>
      <c r="C59" s="166">
        <v>2454314.7905362756</v>
      </c>
      <c r="D59" s="163">
        <v>621143.96362250834</v>
      </c>
      <c r="E59" s="163">
        <v>1833170.8269137673</v>
      </c>
      <c r="F59" s="163">
        <v>25529999.376720961</v>
      </c>
      <c r="G59" s="165">
        <f>D48+D49+D50+D51+D52+D53+D54+D55+D56+D57+D58+D59</f>
        <v>9950110.646612756</v>
      </c>
      <c r="H59" s="165">
        <f>SUM(E48:E59)</f>
        <v>19501666.839822549</v>
      </c>
      <c r="I59" s="151"/>
    </row>
    <row r="60" spans="1:9">
      <c r="A60" s="162">
        <v>49</v>
      </c>
      <c r="B60" s="163">
        <v>25529999.376720961</v>
      </c>
      <c r="C60" s="164">
        <v>2454314.7905362756</v>
      </c>
      <c r="D60" s="163">
        <v>579530.98585156584</v>
      </c>
      <c r="E60" s="163">
        <v>1874783.8046847098</v>
      </c>
      <c r="F60" s="163">
        <v>23655215.572036251</v>
      </c>
      <c r="G60" s="151"/>
      <c r="H60" s="151"/>
      <c r="I60" s="151"/>
    </row>
    <row r="61" spans="1:9">
      <c r="A61" s="162">
        <v>50</v>
      </c>
      <c r="B61" s="163">
        <v>23655215.572036251</v>
      </c>
      <c r="C61" s="166">
        <v>2454314.7905362756</v>
      </c>
      <c r="D61" s="163">
        <v>536973.39348522294</v>
      </c>
      <c r="E61" s="163">
        <v>1917341.3970510527</v>
      </c>
      <c r="F61" s="163">
        <v>21737874.1749852</v>
      </c>
      <c r="G61" s="151"/>
      <c r="H61" s="151"/>
      <c r="I61" s="151"/>
    </row>
    <row r="62" spans="1:9">
      <c r="A62" s="162">
        <v>51</v>
      </c>
      <c r="B62" s="163">
        <v>21737874.1749852</v>
      </c>
      <c r="C62" s="164">
        <v>2454314.7905362756</v>
      </c>
      <c r="D62" s="163">
        <v>493449.7437721641</v>
      </c>
      <c r="E62" s="163">
        <v>1960865.0467641116</v>
      </c>
      <c r="F62" s="163">
        <v>19777009.128221087</v>
      </c>
      <c r="G62" s="151"/>
      <c r="H62" s="151"/>
      <c r="I62" s="151"/>
    </row>
    <row r="63" spans="1:9">
      <c r="A63" s="162">
        <v>52</v>
      </c>
      <c r="B63" s="163">
        <v>19777009.128221087</v>
      </c>
      <c r="C63" s="166">
        <v>2454314.7905362756</v>
      </c>
      <c r="D63" s="163">
        <v>448938.10721061873</v>
      </c>
      <c r="E63" s="163">
        <v>2005376.6833256569</v>
      </c>
      <c r="F63" s="163">
        <v>17771632.444895431</v>
      </c>
      <c r="G63" s="151"/>
      <c r="H63" s="151"/>
      <c r="I63" s="151"/>
    </row>
    <row r="64" spans="1:9">
      <c r="A64" s="162">
        <v>53</v>
      </c>
      <c r="B64" s="163">
        <v>17771632.444895431</v>
      </c>
      <c r="C64" s="164">
        <v>2454314.7905362756</v>
      </c>
      <c r="D64" s="163">
        <v>403416.05649912631</v>
      </c>
      <c r="E64" s="163">
        <v>2050898.7340371492</v>
      </c>
      <c r="F64" s="163">
        <v>15720733.710858282</v>
      </c>
      <c r="G64" s="151"/>
      <c r="H64" s="151"/>
      <c r="I64" s="151"/>
    </row>
    <row r="65" spans="1:9">
      <c r="A65" s="162">
        <v>54</v>
      </c>
      <c r="B65" s="163">
        <v>15720733.710858282</v>
      </c>
      <c r="C65" s="166">
        <v>2454314.7905362756</v>
      </c>
      <c r="D65" s="163">
        <v>356860.65523648303</v>
      </c>
      <c r="E65" s="163">
        <v>2097454.1352997925</v>
      </c>
      <c r="F65" s="163">
        <v>13623279.575558489</v>
      </c>
      <c r="G65" s="151"/>
      <c r="H65" s="151"/>
      <c r="I65" s="151"/>
    </row>
    <row r="66" spans="1:9">
      <c r="A66" s="162">
        <v>55</v>
      </c>
      <c r="B66" s="163">
        <v>13623279.575558489</v>
      </c>
      <c r="C66" s="164">
        <v>2454314.7905362756</v>
      </c>
      <c r="D66" s="163">
        <v>309248.44636517775</v>
      </c>
      <c r="E66" s="163">
        <v>2145066.344171098</v>
      </c>
      <c r="F66" s="163">
        <v>11478213.231387392</v>
      </c>
      <c r="G66" s="151"/>
      <c r="H66" s="151"/>
      <c r="I66" s="151"/>
    </row>
    <row r="67" spans="1:9">
      <c r="A67" s="162">
        <v>56</v>
      </c>
      <c r="B67" s="163">
        <v>11478213.231387392</v>
      </c>
      <c r="C67" s="166">
        <v>2454314.7905362756</v>
      </c>
      <c r="D67" s="163">
        <v>260555.44035249381</v>
      </c>
      <c r="E67" s="163">
        <v>2193759.3501837817</v>
      </c>
      <c r="F67" s="163">
        <v>9284453.8812036105</v>
      </c>
      <c r="G67" s="151"/>
      <c r="H67" s="151"/>
      <c r="I67" s="151"/>
    </row>
    <row r="68" spans="1:9">
      <c r="A68" s="162">
        <v>57</v>
      </c>
      <c r="B68" s="163">
        <v>9284453.8812036105</v>
      </c>
      <c r="C68" s="164">
        <v>2454314.7905362756</v>
      </c>
      <c r="D68" s="163">
        <v>210757.10310332198</v>
      </c>
      <c r="E68" s="163">
        <v>2243557.6874329536</v>
      </c>
      <c r="F68" s="163">
        <v>7040896.1937706564</v>
      </c>
      <c r="G68" s="151"/>
      <c r="H68" s="151"/>
      <c r="I68" s="151"/>
    </row>
    <row r="69" spans="1:9">
      <c r="A69" s="162">
        <v>58</v>
      </c>
      <c r="B69" s="163">
        <v>7040896.1937706564</v>
      </c>
      <c r="C69" s="166">
        <v>2454314.7905362756</v>
      </c>
      <c r="D69" s="163">
        <v>159828.3435985939</v>
      </c>
      <c r="E69" s="163">
        <v>2294486.4469376816</v>
      </c>
      <c r="F69" s="163">
        <v>4746409.7468329743</v>
      </c>
      <c r="G69" s="151"/>
      <c r="H69" s="151"/>
      <c r="I69" s="151"/>
    </row>
    <row r="70" spans="1:9">
      <c r="A70" s="162">
        <v>59</v>
      </c>
      <c r="B70" s="163">
        <v>4746409.7468329743</v>
      </c>
      <c r="C70" s="164">
        <v>2454314.7905362756</v>
      </c>
      <c r="D70" s="163">
        <v>107743.50125310852</v>
      </c>
      <c r="E70" s="163">
        <v>2346571.2892831671</v>
      </c>
      <c r="F70" s="163">
        <v>2399838.4575498071</v>
      </c>
      <c r="G70" s="151"/>
      <c r="H70" s="151"/>
      <c r="I70" s="151"/>
    </row>
    <row r="71" spans="1:9">
      <c r="A71" s="162">
        <v>60</v>
      </c>
      <c r="B71" s="163">
        <v>2399838.4575498071</v>
      </c>
      <c r="C71" s="166">
        <v>2454314.7905362756</v>
      </c>
      <c r="D71" s="163">
        <v>54476.332986380628</v>
      </c>
      <c r="E71" s="163">
        <v>2399838.4575498952</v>
      </c>
      <c r="F71" s="163">
        <v>-8.800998330116272E-8</v>
      </c>
      <c r="G71" s="165">
        <f>D60+D61+D62+D63+D64+D65+D66+D67+D68+D69+D70+D71</f>
        <v>3921778.1097142571</v>
      </c>
      <c r="H71" s="165">
        <f>SUM(E60:E71)</f>
        <v>25529999.376721047</v>
      </c>
      <c r="I71" s="151"/>
    </row>
    <row r="72" spans="1:9">
      <c r="D72" s="190">
        <f>SUM(D12:D71)</f>
        <v>67258887.432176501</v>
      </c>
    </row>
    <row r="73" spans="1:9">
      <c r="D73" t="s">
        <v>78</v>
      </c>
      <c r="H73" s="190">
        <f>SUM(H23:H71)</f>
        <v>80000000.00000003</v>
      </c>
    </row>
  </sheetData>
  <mergeCells count="3">
    <mergeCell ref="A3:D3"/>
    <mergeCell ref="F3:I3"/>
    <mergeCell ref="A10:F10"/>
  </mergeCells>
  <conditionalFormatting sqref="A12:F12 A14:F14 A16:F16 A18:F18 A20:F20 A22:F22 A24:F24 A26:F26 A28:F28 A30:F30 A32:F32 A34:F34 A36:F36 A38:F38 A40:F40 A42:F42 A44:F44 A46:F46 A48:F48 A50:F50 A52:F52 A54:F54 A56:F56 A58:F58 A60:F60 A62:F62 A64:F64 A66:F66 A68:F68 A70:F70">
    <cfRule type="expression" dxfId="1" priority="2" stopIfTrue="1">
      <formula>ISNUMBER(A12)</formula>
    </cfRule>
  </conditionalFormatting>
  <conditionalFormatting sqref="A13:F13 A15:F15 A17:F17 A19:F19 A21:F21 A23:F23 A25:F25 A27:F27 A29:F29 A31:F31 A33:F33 A35:F35 A37:F37 A39:F39 A41:F41 A43:F43 A45:F45 A47:F47 A49:F49 A51:F51 A53:F53 A55:F55 A57:F57 A59:F59 A61:F61 A63:F63 A65:F65 A67:F67 A69:F69 A71:F71">
    <cfRule type="expression" dxfId="0" priority="1" stopIfTrue="1">
      <formula>ISNUMBER(A13)</formula>
    </cfRule>
  </conditionalFormatting>
  <dataValidations count="6">
    <dataValidation type="whole" allowBlank="1" showInputMessage="1" showErrorMessage="1" errorTitle="ERROR" error="Por favor agrege un número entre 1 y 365" promptTitle="No DE PERIODOS" prompt="Esta hoja funciona desde uno hasta 365 periódos" sqref="D8" xr:uid="{00000000-0002-0000-0200-000000000000}">
      <formula1>1</formula1>
      <formula2>365</formula2>
    </dataValidation>
    <dataValidation type="list" allowBlank="1" showInputMessage="1" showErrorMessage="1" errorTitle="ERROR" error="Por favor seleccione UNICAMENTE los valores disponibles de la lista" promptTitle="TIPO DE PERIODO" prompt="Selecciones de la lista los períodos en los cuales va a trabajar" sqref="D4" xr:uid="{00000000-0002-0000-0200-000001000000}">
      <formula1>$J$1:$J$8</formula1>
    </dataValidation>
    <dataValidation type="list" allowBlank="1" showInputMessage="1" showErrorMessage="1" sqref="H10" xr:uid="{00000000-0002-0000-0200-000002000000}">
      <formula1>$J$2:$J$7</formula1>
    </dataValidation>
    <dataValidation type="list" allowBlank="1" showInputMessage="1" showErrorMessage="1" errorTitle="ERROR" error="Por favor escoja UNICAMENTE los valores de la lista" promptTitle="TASA BASE DE INFORMACION" prompt="Las dos formas mas frecuentes de encontrar información de tasas son: Períodicas (Ej. 2% mensual) o Efectivas anuales (Ej. 27.56% E.A.)._x000a__x000a_Ud. debe indicar cual de estas trabajará, para que el programa realice correctamente la amortización." sqref="D5" xr:uid="{00000000-0002-0000-0200-000003000000}">
      <formula1>$L$1:$L$2</formula1>
    </dataValidation>
    <dataValidation operator="greaterThan" allowBlank="1" showInputMessage="1" showErrorMessage="1" promptTitle="FACTOR" prompt="El factor es el resultante de calcular la cuota fija con un Valor Actual (VA) de $1. _x000a_Se utiliza comunmente para calcular cuotas fijas con cualquier valor de inversión (o préstamo),simplemente multiplicando el FACTOR por el Valor del crédito (o inversión)" sqref="I8:I9" xr:uid="{00000000-0002-0000-0200-000004000000}"/>
    <dataValidation allowBlank="1" showInputMessage="1" showErrorMessage="1" promptTitle="CUOTA FIJA" prompt="Es un valor CONSTANTE que se paga desde el final del período 1 y hasta el último período. Con esta cuota se garantiza devolver el total de la inversión (o préstramo) más unos intereses pactados a una determinada tasa de interés." sqref="I7" xr:uid="{00000000-0002-0000-0200-000005000000}"/>
  </dataValidations>
  <pageMargins left="0.75" right="0.75" top="1" bottom="1" header="0.5" footer="0.5"/>
  <pageSetup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C1:O52"/>
  <sheetViews>
    <sheetView topLeftCell="A27" zoomScale="85" zoomScaleNormal="85" workbookViewId="0">
      <selection activeCell="Q50" sqref="Q50"/>
    </sheetView>
  </sheetViews>
  <sheetFormatPr defaultColWidth="11.42578125" defaultRowHeight="15"/>
  <cols>
    <col min="3" max="3" width="3.7109375" customWidth="1"/>
    <col min="4" max="4" width="27.140625" customWidth="1"/>
    <col min="5" max="5" width="13.5703125" customWidth="1"/>
    <col min="6" max="6" width="5.140625" customWidth="1"/>
    <col min="8" max="8" width="12.28515625" customWidth="1"/>
  </cols>
  <sheetData>
    <row r="1" spans="3:15" ht="15" customHeight="1"/>
    <row r="2" spans="3:15" ht="15" customHeight="1" thickBot="1"/>
    <row r="3" spans="3:15">
      <c r="C3" s="270" t="s">
        <v>79</v>
      </c>
      <c r="D3" s="271"/>
      <c r="E3" s="271"/>
      <c r="F3" s="271"/>
      <c r="G3" s="271"/>
      <c r="H3" s="271"/>
      <c r="I3" s="271"/>
      <c r="J3" s="271"/>
      <c r="K3" s="271"/>
      <c r="L3" s="271"/>
      <c r="M3" s="271"/>
      <c r="N3" s="271"/>
      <c r="O3" s="272"/>
    </row>
    <row r="4" spans="3:15" s="20" customFormat="1" ht="33" customHeight="1">
      <c r="C4" s="273"/>
      <c r="D4" s="274"/>
      <c r="E4" s="274"/>
      <c r="F4" s="274"/>
      <c r="G4" s="274"/>
      <c r="H4" s="274"/>
      <c r="I4" s="274"/>
      <c r="J4" s="274"/>
      <c r="K4" s="274"/>
      <c r="L4" s="274"/>
      <c r="M4" s="274"/>
      <c r="N4" s="274"/>
      <c r="O4" s="275"/>
    </row>
    <row r="5" spans="3:15" s="20" customFormat="1" ht="18.75" thickBot="1">
      <c r="C5" s="294" t="s">
        <v>80</v>
      </c>
      <c r="D5" s="295"/>
      <c r="E5" s="296"/>
      <c r="F5" s="296"/>
      <c r="G5" s="296"/>
      <c r="H5" s="296"/>
      <c r="I5" s="296"/>
      <c r="J5" s="296"/>
      <c r="K5" s="296"/>
      <c r="L5" s="296"/>
      <c r="M5" s="296"/>
      <c r="N5" s="296"/>
      <c r="O5" s="297"/>
    </row>
    <row r="6" spans="3:15" ht="15.75" thickBot="1">
      <c r="C6" s="23" t="s">
        <v>81</v>
      </c>
      <c r="D6" s="59" t="s">
        <v>82</v>
      </c>
      <c r="E6" s="309"/>
      <c r="F6" s="310"/>
      <c r="G6" s="310"/>
      <c r="H6" s="310"/>
      <c r="I6" s="310"/>
      <c r="J6" s="310"/>
      <c r="K6" s="310"/>
      <c r="L6" s="310"/>
      <c r="M6" s="310"/>
      <c r="N6" s="310"/>
      <c r="O6" s="311"/>
    </row>
    <row r="7" spans="3:15" ht="15.75" thickBot="1">
      <c r="C7" s="284" t="s">
        <v>83</v>
      </c>
      <c r="D7" s="300" t="s">
        <v>84</v>
      </c>
      <c r="E7" s="284" t="s">
        <v>85</v>
      </c>
      <c r="F7" s="301" t="s">
        <v>86</v>
      </c>
      <c r="G7" s="282" t="s">
        <v>87</v>
      </c>
      <c r="H7" s="282"/>
      <c r="I7" s="282"/>
      <c r="J7" s="307" t="s">
        <v>88</v>
      </c>
      <c r="K7" s="282" t="s">
        <v>89</v>
      </c>
      <c r="L7" s="282"/>
      <c r="M7" s="282"/>
      <c r="N7" s="306" t="s">
        <v>90</v>
      </c>
      <c r="O7" s="306" t="s">
        <v>91</v>
      </c>
    </row>
    <row r="8" spans="3:15" ht="15.75" thickBot="1">
      <c r="C8" s="284"/>
      <c r="D8" s="284"/>
      <c r="E8" s="284"/>
      <c r="F8" s="301"/>
      <c r="G8" s="209" t="s">
        <v>92</v>
      </c>
      <c r="H8" s="209" t="s">
        <v>93</v>
      </c>
      <c r="I8" s="209" t="s">
        <v>94</v>
      </c>
      <c r="J8" s="308"/>
      <c r="K8" s="209" t="s">
        <v>95</v>
      </c>
      <c r="L8" s="209" t="s">
        <v>96</v>
      </c>
      <c r="M8" s="209" t="s">
        <v>94</v>
      </c>
      <c r="N8" s="300"/>
      <c r="O8" s="300"/>
    </row>
    <row r="9" spans="3:15">
      <c r="C9" s="13">
        <v>1</v>
      </c>
      <c r="D9" s="125" t="s">
        <v>97</v>
      </c>
      <c r="E9" s="79">
        <v>1200000</v>
      </c>
      <c r="F9" s="7">
        <v>30</v>
      </c>
      <c r="G9" s="78">
        <f>E9*F9/30</f>
        <v>1200000</v>
      </c>
      <c r="H9" s="79">
        <f>H35</f>
        <v>70000</v>
      </c>
      <c r="I9" s="102">
        <v>80000</v>
      </c>
      <c r="J9" s="80">
        <f>G9+I9</f>
        <v>1280000</v>
      </c>
      <c r="K9" s="78">
        <f>(J9-H9)*4%</f>
        <v>48400</v>
      </c>
      <c r="L9" s="79">
        <f>(J9-H9)*4%</f>
        <v>48400</v>
      </c>
      <c r="M9" s="101">
        <v>0</v>
      </c>
      <c r="N9" s="81">
        <f>K9+L9+M9</f>
        <v>96800</v>
      </c>
      <c r="O9" s="82">
        <f>J9-N9</f>
        <v>1183200</v>
      </c>
    </row>
    <row r="10" spans="3:15">
      <c r="C10" s="25">
        <v>2</v>
      </c>
      <c r="D10" s="5" t="s">
        <v>98</v>
      </c>
      <c r="E10" s="93">
        <v>1200000</v>
      </c>
      <c r="F10" s="8">
        <f>F9</f>
        <v>30</v>
      </c>
      <c r="G10" s="78">
        <f>E10*F10/30</f>
        <v>1200000</v>
      </c>
      <c r="H10" s="79">
        <f>H36</f>
        <v>70000</v>
      </c>
      <c r="I10" s="102">
        <v>80000</v>
      </c>
      <c r="J10" s="80">
        <f>G10+I10</f>
        <v>1280000</v>
      </c>
      <c r="K10" s="78">
        <f>(J10-H10)*4%</f>
        <v>48400</v>
      </c>
      <c r="L10" s="79">
        <f>(J10-H10)*4%</f>
        <v>48400</v>
      </c>
      <c r="M10" s="101">
        <v>0</v>
      </c>
      <c r="N10" s="81">
        <f>K10+L10+M10</f>
        <v>96800</v>
      </c>
      <c r="O10" s="82">
        <f>J10-N10</f>
        <v>1183200</v>
      </c>
    </row>
    <row r="11" spans="3:15">
      <c r="C11" s="25">
        <v>3</v>
      </c>
      <c r="D11" s="5"/>
      <c r="E11" s="3"/>
      <c r="F11" s="8"/>
      <c r="G11" s="13"/>
      <c r="H11" s="3"/>
      <c r="I11" s="14"/>
      <c r="J11" s="15"/>
      <c r="K11" s="13"/>
      <c r="L11" s="2"/>
      <c r="M11" s="14"/>
      <c r="N11" s="9"/>
      <c r="O11" s="17"/>
    </row>
    <row r="12" spans="3:15">
      <c r="C12" s="25">
        <v>4</v>
      </c>
      <c r="D12" s="5"/>
      <c r="E12" s="3"/>
      <c r="F12" s="8"/>
      <c r="G12" s="13"/>
      <c r="H12" s="3"/>
      <c r="I12" s="14"/>
      <c r="J12" s="15"/>
      <c r="K12" s="13"/>
      <c r="L12" s="2"/>
      <c r="M12" s="14"/>
      <c r="N12" s="9"/>
      <c r="O12" s="17"/>
    </row>
    <row r="13" spans="3:15">
      <c r="C13" s="25">
        <v>5</v>
      </c>
      <c r="D13" s="5"/>
      <c r="E13" s="3"/>
      <c r="F13" s="8"/>
      <c r="G13" s="13"/>
      <c r="H13" s="3"/>
      <c r="I13" s="14"/>
      <c r="J13" s="15"/>
      <c r="K13" s="13"/>
      <c r="L13" s="2"/>
      <c r="M13" s="14"/>
      <c r="N13" s="9"/>
      <c r="O13" s="17"/>
    </row>
    <row r="14" spans="3:15">
      <c r="C14" s="25">
        <v>6</v>
      </c>
      <c r="D14" s="5"/>
      <c r="E14" s="3"/>
      <c r="F14" s="8"/>
      <c r="G14" s="13"/>
      <c r="H14" s="3"/>
      <c r="I14" s="14"/>
      <c r="J14" s="15"/>
      <c r="K14" s="13"/>
      <c r="L14" s="2"/>
      <c r="M14" s="14"/>
      <c r="N14" s="9"/>
      <c r="O14" s="17"/>
    </row>
    <row r="15" spans="3:15">
      <c r="C15" s="25">
        <v>7</v>
      </c>
      <c r="D15" s="5"/>
      <c r="E15" s="3"/>
      <c r="F15" s="8"/>
      <c r="G15" s="13"/>
      <c r="H15" s="3"/>
      <c r="I15" s="14"/>
      <c r="J15" s="15"/>
      <c r="K15" s="13"/>
      <c r="L15" s="2"/>
      <c r="M15" s="14"/>
      <c r="N15" s="9"/>
      <c r="O15" s="17"/>
    </row>
    <row r="16" spans="3:15" s="20" customFormat="1" ht="15.75" thickBot="1">
      <c r="C16" s="29">
        <v>15</v>
      </c>
      <c r="D16" s="6"/>
      <c r="E16" s="4"/>
      <c r="F16" s="11"/>
      <c r="G16" s="19"/>
      <c r="H16" s="4"/>
      <c r="I16" s="18"/>
      <c r="J16" s="16"/>
      <c r="K16" s="19"/>
      <c r="L16" s="10"/>
      <c r="M16" s="18"/>
      <c r="N16" s="12"/>
      <c r="O16" s="26"/>
    </row>
    <row r="17" spans="3:15" ht="15.75" thickBot="1">
      <c r="C17" s="30"/>
      <c r="D17" s="31" t="s">
        <v>99</v>
      </c>
      <c r="E17" s="119">
        <f>E9+E10</f>
        <v>2400000</v>
      </c>
      <c r="F17" s="30"/>
      <c r="G17" s="90">
        <f t="shared" ref="G17:O17" si="0">G9+G10</f>
        <v>2400000</v>
      </c>
      <c r="H17" s="83">
        <f t="shared" si="0"/>
        <v>140000</v>
      </c>
      <c r="I17" s="104">
        <f t="shared" si="0"/>
        <v>160000</v>
      </c>
      <c r="J17" s="83">
        <f t="shared" si="0"/>
        <v>2560000</v>
      </c>
      <c r="K17" s="90">
        <f t="shared" si="0"/>
        <v>96800</v>
      </c>
      <c r="L17" s="90">
        <f t="shared" si="0"/>
        <v>96800</v>
      </c>
      <c r="M17" s="103">
        <f t="shared" si="0"/>
        <v>0</v>
      </c>
      <c r="N17" s="90">
        <f t="shared" si="0"/>
        <v>193600</v>
      </c>
      <c r="O17" s="90">
        <f t="shared" si="0"/>
        <v>2366400</v>
      </c>
    </row>
    <row r="18" spans="3:15" ht="15.75" thickBot="1">
      <c r="C18" s="23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24"/>
    </row>
    <row r="19" spans="3:15" ht="15.75" thickBot="1">
      <c r="C19" s="302" t="s">
        <v>100</v>
      </c>
      <c r="D19" s="303"/>
      <c r="E19" s="210" t="s">
        <v>101</v>
      </c>
      <c r="F19" s="27"/>
      <c r="G19" s="283" t="s">
        <v>102</v>
      </c>
      <c r="H19" s="283"/>
      <c r="I19" s="284" t="s">
        <v>101</v>
      </c>
      <c r="J19" s="20"/>
      <c r="K19" s="282" t="s">
        <v>103</v>
      </c>
      <c r="L19" s="282"/>
      <c r="M19" s="282"/>
      <c r="N19" s="282"/>
      <c r="O19" s="282"/>
    </row>
    <row r="20" spans="3:15" ht="15.75" customHeight="1" thickBot="1">
      <c r="C20" s="304" t="s">
        <v>95</v>
      </c>
      <c r="D20" s="305"/>
      <c r="E20" s="84">
        <f>(J9-H9)*8.5%</f>
        <v>102850.00000000001</v>
      </c>
      <c r="F20" s="21"/>
      <c r="G20" s="283"/>
      <c r="H20" s="283"/>
      <c r="I20" s="284"/>
      <c r="K20" s="276"/>
      <c r="L20" s="277"/>
      <c r="M20" s="277"/>
      <c r="N20" s="277"/>
      <c r="O20" s="278"/>
    </row>
    <row r="21" spans="3:15">
      <c r="C21" s="289" t="s">
        <v>104</v>
      </c>
      <c r="D21" s="290"/>
      <c r="E21" s="85">
        <f>(J9-H9)*1.044%</f>
        <v>12632.4</v>
      </c>
      <c r="F21" s="21"/>
      <c r="G21" s="314" t="s">
        <v>105</v>
      </c>
      <c r="H21" s="315"/>
      <c r="I21" s="87">
        <f>J9/12</f>
        <v>106666.66666666667</v>
      </c>
      <c r="K21" s="276"/>
      <c r="L21" s="277"/>
      <c r="M21" s="277"/>
      <c r="N21" s="277"/>
      <c r="O21" s="278"/>
    </row>
    <row r="22" spans="3:15">
      <c r="C22" s="289" t="s">
        <v>106</v>
      </c>
      <c r="D22" s="290"/>
      <c r="E22" s="85">
        <f>(J9-H9)*12%</f>
        <v>145200</v>
      </c>
      <c r="F22" s="21"/>
      <c r="G22" s="298" t="s">
        <v>107</v>
      </c>
      <c r="H22" s="299"/>
      <c r="I22" s="88">
        <f>I21*12%</f>
        <v>12800</v>
      </c>
      <c r="K22" s="276"/>
      <c r="L22" s="277"/>
      <c r="M22" s="277"/>
      <c r="N22" s="277"/>
      <c r="O22" s="278"/>
    </row>
    <row r="23" spans="3:15">
      <c r="C23" s="289" t="s">
        <v>108</v>
      </c>
      <c r="D23" s="290"/>
      <c r="E23" s="85">
        <f>(J9-H9)*2%</f>
        <v>24200</v>
      </c>
      <c r="F23" s="21"/>
      <c r="G23" s="298" t="s">
        <v>109</v>
      </c>
      <c r="H23" s="299"/>
      <c r="I23" s="88">
        <f>J9/12</f>
        <v>106666.66666666667</v>
      </c>
      <c r="K23" s="276"/>
      <c r="L23" s="277"/>
      <c r="M23" s="277"/>
      <c r="N23" s="277"/>
      <c r="O23" s="278"/>
    </row>
    <row r="24" spans="3:15">
      <c r="C24" s="289" t="s">
        <v>110</v>
      </c>
      <c r="D24" s="290"/>
      <c r="E24" s="85">
        <f>(J9-H9)*3%</f>
        <v>36300</v>
      </c>
      <c r="F24" s="21"/>
      <c r="G24" s="285" t="s">
        <v>111</v>
      </c>
      <c r="H24" s="286"/>
      <c r="I24" s="89">
        <f>(J9-H9-I9)/24</f>
        <v>47083.333333333336</v>
      </c>
      <c r="K24" s="276"/>
      <c r="L24" s="277"/>
      <c r="M24" s="277"/>
      <c r="N24" s="277"/>
      <c r="O24" s="278"/>
    </row>
    <row r="25" spans="3:15" ht="15.75" thickBot="1">
      <c r="C25" s="289" t="s">
        <v>112</v>
      </c>
      <c r="D25" s="290"/>
      <c r="E25" s="86">
        <f>(J9-H9)*4%</f>
        <v>48400</v>
      </c>
      <c r="F25" s="21"/>
      <c r="G25" s="287" t="s">
        <v>99</v>
      </c>
      <c r="H25" s="288"/>
      <c r="I25" s="121">
        <f>I21+I22+I23+I24</f>
        <v>273216.66666666669</v>
      </c>
      <c r="J25" s="22"/>
      <c r="K25" s="276"/>
      <c r="L25" s="277"/>
      <c r="M25" s="277"/>
      <c r="N25" s="277"/>
      <c r="O25" s="278"/>
    </row>
    <row r="26" spans="3:15" ht="15.75" thickBot="1">
      <c r="C26" s="291" t="s">
        <v>99</v>
      </c>
      <c r="D26" s="292"/>
      <c r="E26" s="120">
        <f>E20+E21+E22+E23+E24+E25</f>
        <v>369582.4</v>
      </c>
      <c r="F26" s="28"/>
      <c r="G26" s="28"/>
      <c r="H26" s="28"/>
      <c r="I26" s="293"/>
      <c r="J26" s="293"/>
      <c r="K26" s="279"/>
      <c r="L26" s="280"/>
      <c r="M26" s="280"/>
      <c r="N26" s="280"/>
      <c r="O26" s="281"/>
    </row>
    <row r="28" spans="3:15" ht="15.75" thickBot="1"/>
    <row r="29" spans="3:15" ht="15" customHeight="1">
      <c r="C29" s="270" t="s">
        <v>79</v>
      </c>
      <c r="D29" s="360"/>
      <c r="E29" s="360"/>
      <c r="F29" s="360"/>
      <c r="G29" s="360"/>
      <c r="H29" s="360"/>
      <c r="I29" s="360"/>
      <c r="J29" s="360"/>
      <c r="K29" s="360"/>
      <c r="L29" s="360"/>
      <c r="M29" s="360"/>
      <c r="N29" s="360"/>
      <c r="O29" s="361"/>
    </row>
    <row r="30" spans="3:15" ht="32.25" customHeight="1">
      <c r="C30" s="362"/>
      <c r="D30" s="363"/>
      <c r="E30" s="363"/>
      <c r="F30" s="363"/>
      <c r="G30" s="363"/>
      <c r="H30" s="363"/>
      <c r="I30" s="363"/>
      <c r="J30" s="363"/>
      <c r="K30" s="363"/>
      <c r="L30" s="363"/>
      <c r="M30" s="363"/>
      <c r="N30" s="363"/>
      <c r="O30" s="364"/>
    </row>
    <row r="31" spans="3:15" ht="18.75" thickBot="1">
      <c r="C31" s="316" t="s">
        <v>113</v>
      </c>
      <c r="D31" s="365"/>
      <c r="E31" s="365"/>
      <c r="F31" s="365"/>
      <c r="G31" s="365"/>
      <c r="H31" s="365"/>
      <c r="I31" s="365"/>
      <c r="J31" s="365"/>
      <c r="K31" s="365"/>
      <c r="L31" s="365"/>
      <c r="M31" s="365"/>
      <c r="N31" s="365"/>
      <c r="O31" s="366"/>
    </row>
    <row r="32" spans="3:15" ht="15.75" thickBot="1">
      <c r="C32" s="57" t="s">
        <v>81</v>
      </c>
      <c r="D32" s="317" t="s">
        <v>82</v>
      </c>
      <c r="E32" s="318"/>
      <c r="F32" s="318"/>
      <c r="G32" s="318"/>
      <c r="H32" s="318"/>
      <c r="I32" s="318"/>
      <c r="J32" s="318"/>
      <c r="K32" s="318"/>
      <c r="L32" s="318"/>
      <c r="M32" s="318"/>
      <c r="N32" s="318"/>
      <c r="O32" s="319"/>
    </row>
    <row r="33" spans="3:15" ht="15.75" thickBot="1">
      <c r="C33" s="300" t="s">
        <v>83</v>
      </c>
      <c r="D33" s="284" t="s">
        <v>114</v>
      </c>
      <c r="E33" s="284" t="s">
        <v>85</v>
      </c>
      <c r="F33" s="301" t="s">
        <v>86</v>
      </c>
      <c r="G33" s="282" t="s">
        <v>87</v>
      </c>
      <c r="H33" s="282"/>
      <c r="I33" s="282"/>
      <c r="J33" s="312" t="s">
        <v>115</v>
      </c>
      <c r="K33" s="282" t="s">
        <v>89</v>
      </c>
      <c r="L33" s="282"/>
      <c r="M33" s="282"/>
      <c r="N33" s="307" t="s">
        <v>90</v>
      </c>
      <c r="O33" s="306" t="s">
        <v>91</v>
      </c>
    </row>
    <row r="34" spans="3:15" ht="15.75" thickBot="1">
      <c r="C34" s="284"/>
      <c r="D34" s="284"/>
      <c r="E34" s="284"/>
      <c r="F34" s="301"/>
      <c r="G34" s="209" t="s">
        <v>92</v>
      </c>
      <c r="H34" s="209" t="s">
        <v>93</v>
      </c>
      <c r="I34" s="209" t="s">
        <v>94</v>
      </c>
      <c r="J34" s="313"/>
      <c r="K34" s="209" t="s">
        <v>95</v>
      </c>
      <c r="L34" s="209" t="s">
        <v>96</v>
      </c>
      <c r="M34" s="209" t="s">
        <v>94</v>
      </c>
      <c r="N34" s="308"/>
      <c r="O34" s="300"/>
    </row>
    <row r="35" spans="3:15">
      <c r="C35" s="13">
        <v>1</v>
      </c>
      <c r="D35" s="211" t="s">
        <v>116</v>
      </c>
      <c r="E35" s="77">
        <v>737717</v>
      </c>
      <c r="F35" s="7">
        <v>30</v>
      </c>
      <c r="G35" s="78">
        <f>E35*F35/30</f>
        <v>737717</v>
      </c>
      <c r="H35" s="79">
        <v>70000</v>
      </c>
      <c r="I35" s="102">
        <v>50000</v>
      </c>
      <c r="J35" s="80">
        <f>SUM(G35:I35)</f>
        <v>857717</v>
      </c>
      <c r="K35" s="78">
        <f>(J35-H35)*4%</f>
        <v>31508.68</v>
      </c>
      <c r="L35" s="79">
        <f>(J35-H35)*4%</f>
        <v>31508.68</v>
      </c>
      <c r="M35" s="17"/>
      <c r="N35" s="81">
        <f>SUM(K35:M35)</f>
        <v>63017.36</v>
      </c>
      <c r="O35" s="82">
        <v>820857</v>
      </c>
    </row>
    <row r="36" spans="3:15">
      <c r="C36" s="25">
        <v>2</v>
      </c>
      <c r="D36" s="212" t="s">
        <v>117</v>
      </c>
      <c r="E36" s="92">
        <f>E35</f>
        <v>737717</v>
      </c>
      <c r="F36" s="8">
        <v>30</v>
      </c>
      <c r="G36" s="78">
        <f>E36*F36/30</f>
        <v>737717</v>
      </c>
      <c r="H36" s="93">
        <v>70000</v>
      </c>
      <c r="I36" s="105">
        <v>50000</v>
      </c>
      <c r="J36" s="94">
        <f>G36+H36+I36</f>
        <v>857717</v>
      </c>
      <c r="K36" s="78">
        <f>(J36-H36)*4%</f>
        <v>31508.68</v>
      </c>
      <c r="L36" s="79">
        <f>(J36-H36)*4%</f>
        <v>31508.68</v>
      </c>
      <c r="M36" s="14"/>
      <c r="N36" s="81">
        <f>K36+L36</f>
        <v>63017.36</v>
      </c>
      <c r="O36" s="82">
        <f>O35</f>
        <v>820857</v>
      </c>
    </row>
    <row r="37" spans="3:15">
      <c r="C37" s="25">
        <v>3</v>
      </c>
      <c r="D37" s="5" t="s">
        <v>118</v>
      </c>
      <c r="E37" s="93">
        <f>E36</f>
        <v>737717</v>
      </c>
      <c r="F37" s="8">
        <v>30</v>
      </c>
      <c r="G37" s="78">
        <f>E37*F37/30</f>
        <v>737717</v>
      </c>
      <c r="H37" s="93">
        <v>70000</v>
      </c>
      <c r="I37" s="105">
        <v>50000</v>
      </c>
      <c r="J37" s="94">
        <f>G37+H37+I37</f>
        <v>857717</v>
      </c>
      <c r="K37" s="78">
        <f>(J37-H37)*4%</f>
        <v>31508.68</v>
      </c>
      <c r="L37" s="79">
        <f>(J37-H37)*4%</f>
        <v>31508.68</v>
      </c>
      <c r="M37" s="14"/>
      <c r="N37" s="81">
        <f>K37+L37</f>
        <v>63017.36</v>
      </c>
      <c r="O37" s="82">
        <f>O36</f>
        <v>820857</v>
      </c>
    </row>
    <row r="38" spans="3:15">
      <c r="C38" s="25">
        <v>4</v>
      </c>
      <c r="D38" s="5" t="s">
        <v>119</v>
      </c>
      <c r="E38" s="93">
        <f>E37</f>
        <v>737717</v>
      </c>
      <c r="F38" s="8">
        <v>30</v>
      </c>
      <c r="G38" s="78">
        <f>E38*F38/30</f>
        <v>737717</v>
      </c>
      <c r="H38" s="93">
        <v>70000</v>
      </c>
      <c r="I38" s="105">
        <v>50000</v>
      </c>
      <c r="J38" s="94">
        <f>G38+H38+I38</f>
        <v>857717</v>
      </c>
      <c r="K38" s="78">
        <f>(J38-H38)*4%</f>
        <v>31508.68</v>
      </c>
      <c r="L38" s="79">
        <f>(J38-H38)*4%</f>
        <v>31508.68</v>
      </c>
      <c r="M38" s="14"/>
      <c r="N38" s="81">
        <f>K38+L38</f>
        <v>63017.36</v>
      </c>
      <c r="O38" s="82">
        <f>O37</f>
        <v>820857</v>
      </c>
    </row>
    <row r="39" spans="3:15">
      <c r="C39" s="25">
        <v>5</v>
      </c>
      <c r="D39" s="5"/>
      <c r="E39" s="3"/>
      <c r="F39" s="8"/>
      <c r="G39" s="13"/>
      <c r="H39" s="3"/>
      <c r="I39" s="14"/>
      <c r="J39" s="15"/>
      <c r="K39" s="13"/>
      <c r="L39" s="2"/>
      <c r="M39" s="14"/>
      <c r="N39" s="9"/>
      <c r="O39" s="17"/>
    </row>
    <row r="40" spans="3:15">
      <c r="C40" s="25">
        <v>6</v>
      </c>
      <c r="D40" s="5"/>
      <c r="E40" s="3"/>
      <c r="F40" s="8"/>
      <c r="G40" s="13"/>
      <c r="H40" s="3"/>
      <c r="I40" s="14"/>
      <c r="J40" s="15"/>
      <c r="K40" s="13"/>
      <c r="L40" s="2"/>
      <c r="M40" s="14"/>
      <c r="N40" s="9"/>
      <c r="O40" s="17"/>
    </row>
    <row r="41" spans="3:15">
      <c r="C41" s="25">
        <v>7</v>
      </c>
      <c r="D41" s="5"/>
      <c r="E41" s="3"/>
      <c r="F41" s="8"/>
      <c r="G41" s="13"/>
      <c r="H41" s="3"/>
      <c r="I41" s="14"/>
      <c r="J41" s="15"/>
      <c r="K41" s="13"/>
      <c r="L41" s="2"/>
      <c r="M41" s="14"/>
      <c r="N41" s="9"/>
      <c r="O41" s="17"/>
    </row>
    <row r="42" spans="3:15" ht="15.75" thickBot="1">
      <c r="C42" s="29">
        <v>15</v>
      </c>
      <c r="D42" s="6"/>
      <c r="E42" s="4"/>
      <c r="F42" s="11"/>
      <c r="G42" s="19"/>
      <c r="H42" s="4"/>
      <c r="I42" s="18"/>
      <c r="J42" s="16"/>
      <c r="K42" s="19"/>
      <c r="L42" s="10"/>
      <c r="M42" s="18"/>
      <c r="N42" s="12"/>
      <c r="O42" s="26"/>
    </row>
    <row r="43" spans="3:15" ht="15.75" thickBot="1">
      <c r="C43" s="30"/>
      <c r="D43" s="31" t="s">
        <v>99</v>
      </c>
      <c r="E43" s="122">
        <f>SUM(E35:E42)</f>
        <v>2950868</v>
      </c>
      <c r="F43" s="30"/>
      <c r="G43" s="90">
        <f>G35+G36+G37</f>
        <v>2213151</v>
      </c>
      <c r="H43" s="91">
        <f>SUM(H35:H42)</f>
        <v>280000</v>
      </c>
      <c r="I43" s="90">
        <f>I35+I36+I37</f>
        <v>150000</v>
      </c>
      <c r="J43" s="90">
        <f>SUM(J35:J42)</f>
        <v>3430868</v>
      </c>
      <c r="K43" s="90">
        <f>K35+K36+K37</f>
        <v>94526.040000000008</v>
      </c>
      <c r="L43" s="90">
        <f>L35+L36+L37</f>
        <v>94526.040000000008</v>
      </c>
      <c r="M43" s="30"/>
      <c r="N43" s="90">
        <f>SUM(N35:N42)</f>
        <v>252069.44</v>
      </c>
      <c r="O43" s="90">
        <f>SUM(O35:O42)</f>
        <v>3283428</v>
      </c>
    </row>
    <row r="44" spans="3:15" ht="15.75" thickBot="1">
      <c r="C44" s="23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24"/>
    </row>
    <row r="45" spans="3:15" ht="15.75" thickBot="1">
      <c r="C45" s="302" t="s">
        <v>100</v>
      </c>
      <c r="D45" s="303"/>
      <c r="E45" s="210" t="s">
        <v>101</v>
      </c>
      <c r="F45" s="27"/>
      <c r="G45" s="283" t="s">
        <v>102</v>
      </c>
      <c r="H45" s="283"/>
      <c r="I45" s="284" t="s">
        <v>101</v>
      </c>
      <c r="J45" s="20"/>
      <c r="K45" s="282" t="s">
        <v>103</v>
      </c>
      <c r="L45" s="282"/>
      <c r="M45" s="282"/>
      <c r="N45" s="282"/>
      <c r="O45" s="282"/>
    </row>
    <row r="46" spans="3:15" ht="15.75" thickBot="1">
      <c r="C46" s="304" t="s">
        <v>95</v>
      </c>
      <c r="D46" s="305"/>
      <c r="E46" s="84">
        <f>(J43-H43)*8.5%</f>
        <v>267823.78000000003</v>
      </c>
      <c r="F46" s="21"/>
      <c r="G46" s="283"/>
      <c r="H46" s="283"/>
      <c r="I46" s="284"/>
      <c r="K46" s="276"/>
      <c r="L46" s="277"/>
      <c r="M46" s="277"/>
      <c r="N46" s="277"/>
      <c r="O46" s="278"/>
    </row>
    <row r="47" spans="3:15">
      <c r="C47" s="289" t="s">
        <v>104</v>
      </c>
      <c r="D47" s="290"/>
      <c r="E47" s="85">
        <f>(J43-H43)*1.044%</f>
        <v>32895.06192</v>
      </c>
      <c r="F47" s="21"/>
      <c r="G47" s="314" t="s">
        <v>105</v>
      </c>
      <c r="H47" s="315"/>
      <c r="I47" s="87">
        <f>J43/12</f>
        <v>285905.66666666669</v>
      </c>
      <c r="K47" s="276"/>
      <c r="L47" s="277"/>
      <c r="M47" s="277"/>
      <c r="N47" s="277"/>
      <c r="O47" s="278"/>
    </row>
    <row r="48" spans="3:15">
      <c r="C48" s="289" t="s">
        <v>106</v>
      </c>
      <c r="D48" s="290"/>
      <c r="E48" s="85">
        <f>(J43-H43)*12%</f>
        <v>378104.16</v>
      </c>
      <c r="F48" s="21"/>
      <c r="G48" s="298" t="s">
        <v>107</v>
      </c>
      <c r="H48" s="299"/>
      <c r="I48" s="88">
        <f>I47*12%</f>
        <v>34308.68</v>
      </c>
      <c r="K48" s="276"/>
      <c r="L48" s="277"/>
      <c r="M48" s="277"/>
      <c r="N48" s="277"/>
      <c r="O48" s="278"/>
    </row>
    <row r="49" spans="3:15">
      <c r="C49" s="289" t="s">
        <v>108</v>
      </c>
      <c r="D49" s="290"/>
      <c r="E49" s="85">
        <f>(J43-H43)*2%</f>
        <v>63017.36</v>
      </c>
      <c r="F49" s="21"/>
      <c r="G49" s="298" t="s">
        <v>109</v>
      </c>
      <c r="H49" s="299"/>
      <c r="I49" s="88">
        <f>J43/12</f>
        <v>285905.66666666669</v>
      </c>
      <c r="K49" s="276"/>
      <c r="L49" s="277"/>
      <c r="M49" s="277"/>
      <c r="N49" s="277"/>
      <c r="O49" s="278"/>
    </row>
    <row r="50" spans="3:15">
      <c r="C50" s="289" t="s">
        <v>110</v>
      </c>
      <c r="D50" s="290"/>
      <c r="E50" s="85">
        <f>(J43-H43)*3%</f>
        <v>94526.04</v>
      </c>
      <c r="F50" s="21"/>
      <c r="G50" s="285" t="s">
        <v>111</v>
      </c>
      <c r="H50" s="286"/>
      <c r="I50" s="89">
        <f>(J43-H43-N43)/24</f>
        <v>120783.27333333333</v>
      </c>
      <c r="K50" s="276"/>
      <c r="L50" s="277"/>
      <c r="M50" s="277"/>
      <c r="N50" s="277"/>
      <c r="O50" s="278"/>
    </row>
    <row r="51" spans="3:15" ht="15.75" thickBot="1">
      <c r="C51" s="289" t="s">
        <v>112</v>
      </c>
      <c r="D51" s="290"/>
      <c r="E51" s="86">
        <f>(J43-H43)*4%</f>
        <v>126034.72</v>
      </c>
      <c r="F51" s="21"/>
      <c r="G51" s="287" t="s">
        <v>99</v>
      </c>
      <c r="H51" s="288"/>
      <c r="I51" s="124">
        <f>SUM(I47:I50)</f>
        <v>726903.28666666674</v>
      </c>
      <c r="J51" s="22"/>
      <c r="K51" s="276"/>
      <c r="L51" s="277"/>
      <c r="M51" s="277"/>
      <c r="N51" s="277"/>
      <c r="O51" s="278"/>
    </row>
    <row r="52" spans="3:15" ht="15.75" thickBot="1">
      <c r="C52" s="291" t="s">
        <v>99</v>
      </c>
      <c r="D52" s="292"/>
      <c r="E52" s="123">
        <f>SUM(E46:E51)</f>
        <v>962401.12191999995</v>
      </c>
      <c r="F52" s="28"/>
      <c r="G52" s="28"/>
      <c r="H52" s="28"/>
      <c r="I52" s="293"/>
      <c r="J52" s="293"/>
      <c r="K52" s="279"/>
      <c r="L52" s="280"/>
      <c r="M52" s="280"/>
      <c r="N52" s="280"/>
      <c r="O52" s="281"/>
    </row>
  </sheetData>
  <mergeCells count="60">
    <mergeCell ref="I52:J52"/>
    <mergeCell ref="O7:O8"/>
    <mergeCell ref="N7:N8"/>
    <mergeCell ref="J7:J8"/>
    <mergeCell ref="E6:O6"/>
    <mergeCell ref="J33:J34"/>
    <mergeCell ref="N33:N34"/>
    <mergeCell ref="O33:O34"/>
    <mergeCell ref="K7:M7"/>
    <mergeCell ref="G23:H23"/>
    <mergeCell ref="G21:H21"/>
    <mergeCell ref="G47:H47"/>
    <mergeCell ref="C29:O30"/>
    <mergeCell ref="C31:O31"/>
    <mergeCell ref="D32:O32"/>
    <mergeCell ref="C33:C34"/>
    <mergeCell ref="D33:D34"/>
    <mergeCell ref="E33:E34"/>
    <mergeCell ref="F33:F34"/>
    <mergeCell ref="G33:I33"/>
    <mergeCell ref="K33:M33"/>
    <mergeCell ref="I45:I46"/>
    <mergeCell ref="K45:O45"/>
    <mergeCell ref="C46:D46"/>
    <mergeCell ref="K46:O52"/>
    <mergeCell ref="C47:D47"/>
    <mergeCell ref="C48:D48"/>
    <mergeCell ref="G48:H48"/>
    <mergeCell ref="C49:D49"/>
    <mergeCell ref="G49:H49"/>
    <mergeCell ref="C45:D45"/>
    <mergeCell ref="G45:H46"/>
    <mergeCell ref="C50:D50"/>
    <mergeCell ref="G50:H50"/>
    <mergeCell ref="C51:D51"/>
    <mergeCell ref="G51:H51"/>
    <mergeCell ref="C52:D52"/>
    <mergeCell ref="D7:D8"/>
    <mergeCell ref="E7:E8"/>
    <mergeCell ref="F7:F8"/>
    <mergeCell ref="G7:I7"/>
    <mergeCell ref="C22:D22"/>
    <mergeCell ref="C19:D19"/>
    <mergeCell ref="C20:D20"/>
    <mergeCell ref="C3:O4"/>
    <mergeCell ref="K20:O26"/>
    <mergeCell ref="K19:O19"/>
    <mergeCell ref="G19:H20"/>
    <mergeCell ref="I19:I20"/>
    <mergeCell ref="G24:H24"/>
    <mergeCell ref="G25:H25"/>
    <mergeCell ref="C25:D25"/>
    <mergeCell ref="C26:D26"/>
    <mergeCell ref="I26:J26"/>
    <mergeCell ref="C23:D23"/>
    <mergeCell ref="C24:D24"/>
    <mergeCell ref="C21:D21"/>
    <mergeCell ref="C5:O5"/>
    <mergeCell ref="G22:H22"/>
    <mergeCell ref="C7:C8"/>
  </mergeCells>
  <pageMargins left="0.7" right="0.7" top="0.75" bottom="0.75" header="0.3" footer="0.3"/>
  <pageSetup orientation="portrait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5"/>
  </sheetPr>
  <dimension ref="A3:G17"/>
  <sheetViews>
    <sheetView zoomScale="115" zoomScaleNormal="115" workbookViewId="0">
      <selection activeCell="D18" sqref="D18"/>
    </sheetView>
  </sheetViews>
  <sheetFormatPr defaultColWidth="11.42578125" defaultRowHeight="15"/>
  <cols>
    <col min="2" max="2" width="37.140625" customWidth="1"/>
    <col min="3" max="3" width="11" customWidth="1"/>
    <col min="4" max="4" width="17.7109375" customWidth="1"/>
    <col min="5" max="5" width="19.42578125" customWidth="1"/>
  </cols>
  <sheetData>
    <row r="3" spans="1:7">
      <c r="B3" s="320" t="s">
        <v>120</v>
      </c>
      <c r="C3" s="321"/>
      <c r="D3" s="321"/>
      <c r="E3" s="322"/>
    </row>
    <row r="4" spans="1:7" ht="33.75" customHeight="1">
      <c r="B4" s="323"/>
      <c r="C4" s="324"/>
      <c r="D4" s="324"/>
      <c r="E4" s="325"/>
    </row>
    <row r="5" spans="1:7" s="37" customFormat="1" ht="31.5">
      <c r="A5" s="64"/>
      <c r="B5" s="213" t="s">
        <v>121</v>
      </c>
      <c r="C5" s="213" t="s">
        <v>122</v>
      </c>
      <c r="D5" s="214" t="s">
        <v>123</v>
      </c>
      <c r="E5" s="215" t="s">
        <v>124</v>
      </c>
    </row>
    <row r="6" spans="1:7" ht="15.75">
      <c r="A6" s="65"/>
      <c r="B6" s="112" t="s">
        <v>125</v>
      </c>
      <c r="C6" s="112">
        <v>10</v>
      </c>
      <c r="D6" s="113">
        <f>P.I!F13</f>
        <v>77402000</v>
      </c>
      <c r="E6" s="113">
        <f>D6*60/120</f>
        <v>38701000</v>
      </c>
    </row>
    <row r="7" spans="1:7" ht="15.75">
      <c r="A7" s="63"/>
      <c r="B7" s="110" t="s">
        <v>126</v>
      </c>
      <c r="C7" s="110">
        <v>10</v>
      </c>
      <c r="D7" s="114">
        <f>P.I!F19</f>
        <v>14564000</v>
      </c>
      <c r="E7" s="114">
        <f>D7*48/120</f>
        <v>5825600</v>
      </c>
    </row>
    <row r="8" spans="1:7" ht="15.75">
      <c r="A8" s="63"/>
      <c r="B8" s="110" t="s">
        <v>127</v>
      </c>
      <c r="C8" s="66">
        <v>4</v>
      </c>
      <c r="D8" s="111">
        <f>P.I!F23</f>
        <v>4065000</v>
      </c>
      <c r="E8" s="111">
        <f>D8*36/48</f>
        <v>3048750</v>
      </c>
    </row>
    <row r="9" spans="1:7" ht="15.75">
      <c r="A9" s="63"/>
      <c r="B9" s="66"/>
      <c r="C9" s="66"/>
      <c r="D9" s="66"/>
      <c r="E9" s="66"/>
    </row>
    <row r="10" spans="1:7" ht="15.75">
      <c r="A10" s="63"/>
      <c r="B10" s="66"/>
      <c r="C10" s="66"/>
      <c r="D10" s="66"/>
      <c r="E10" s="66"/>
    </row>
    <row r="11" spans="1:7" ht="15.75">
      <c r="A11" s="63"/>
      <c r="B11" s="66"/>
      <c r="C11" s="66"/>
      <c r="D11" s="66"/>
      <c r="E11" s="66"/>
    </row>
    <row r="12" spans="1:7" ht="15.75">
      <c r="A12" s="63"/>
      <c r="B12" s="66"/>
      <c r="C12" s="66"/>
      <c r="D12" s="66"/>
      <c r="E12" s="66"/>
    </row>
    <row r="13" spans="1:7" ht="15.75">
      <c r="A13" s="63"/>
      <c r="B13" s="66"/>
      <c r="C13" s="66"/>
      <c r="D13" s="66"/>
      <c r="E13" s="66"/>
      <c r="G13" s="38"/>
    </row>
    <row r="14" spans="1:7" ht="15.75">
      <c r="A14" s="63"/>
      <c r="B14" s="66"/>
      <c r="C14" s="66"/>
      <c r="D14" s="216">
        <f>D6+D7+D8</f>
        <v>96031000</v>
      </c>
      <c r="E14" s="216">
        <f>SUM(E6:E13)</f>
        <v>47575350</v>
      </c>
    </row>
    <row r="15" spans="1:7" ht="15.75">
      <c r="A15" s="63"/>
      <c r="B15" s="63"/>
      <c r="C15" s="63"/>
      <c r="D15" s="63"/>
      <c r="E15" s="63"/>
    </row>
    <row r="16" spans="1:7" ht="15.75">
      <c r="A16" s="63"/>
      <c r="B16" s="63"/>
      <c r="C16" s="63"/>
      <c r="D16" s="63"/>
      <c r="E16" s="63"/>
    </row>
    <row r="17" spans="1:5" ht="15.75">
      <c r="A17" s="63"/>
      <c r="B17" s="63"/>
      <c r="C17" s="63"/>
      <c r="D17" s="63"/>
      <c r="E17" s="63"/>
    </row>
  </sheetData>
  <mergeCells count="1">
    <mergeCell ref="B3:E4"/>
  </mergeCells>
  <pageMargins left="0.7" right="0.7" top="0.75" bottom="0.75" header="0.3" footer="0.3"/>
  <pageSetup orientation="portrait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8" tint="-0.249977111117893"/>
  </sheetPr>
  <dimension ref="B3:E18"/>
  <sheetViews>
    <sheetView workbookViewId="0">
      <selection activeCell="B3" sqref="B3:E18"/>
    </sheetView>
  </sheetViews>
  <sheetFormatPr defaultColWidth="11.42578125" defaultRowHeight="15"/>
  <cols>
    <col min="2" max="2" width="34.140625" bestFit="1" customWidth="1"/>
    <col min="3" max="3" width="15.42578125" customWidth="1"/>
    <col min="4" max="4" width="38.85546875" bestFit="1" customWidth="1"/>
    <col min="5" max="5" width="14.42578125" customWidth="1"/>
  </cols>
  <sheetData>
    <row r="3" spans="2:5">
      <c r="B3" s="326" t="s">
        <v>128</v>
      </c>
      <c r="C3" s="327"/>
      <c r="D3" s="327"/>
      <c r="E3" s="328"/>
    </row>
    <row r="4" spans="2:5" ht="33.75" customHeight="1">
      <c r="B4" s="329"/>
      <c r="C4" s="330"/>
      <c r="D4" s="330"/>
      <c r="E4" s="331"/>
    </row>
    <row r="5" spans="2:5" s="39" customFormat="1" ht="18.75">
      <c r="B5" s="198" t="s">
        <v>129</v>
      </c>
      <c r="C5" s="198" t="s">
        <v>101</v>
      </c>
      <c r="D5" s="198" t="s">
        <v>130</v>
      </c>
      <c r="E5" s="198" t="s">
        <v>101</v>
      </c>
    </row>
    <row r="6" spans="2:5" s="63" customFormat="1" ht="15.75">
      <c r="B6" s="61" t="s">
        <v>131</v>
      </c>
      <c r="C6" s="95">
        <f>NOMINA!E43</f>
        <v>2950868</v>
      </c>
      <c r="D6" s="61" t="s">
        <v>132</v>
      </c>
      <c r="E6" s="95">
        <v>2500000</v>
      </c>
    </row>
    <row r="7" spans="2:5" s="63" customFormat="1" ht="15.75">
      <c r="B7" s="61" t="s">
        <v>133</v>
      </c>
      <c r="C7" s="95">
        <f>NOMINA!E52</f>
        <v>962401.12191999995</v>
      </c>
      <c r="D7" s="61" t="s">
        <v>134</v>
      </c>
      <c r="E7" s="95">
        <f>NOMINA!E17</f>
        <v>2400000</v>
      </c>
    </row>
    <row r="8" spans="2:5" s="63" customFormat="1" ht="15.75">
      <c r="B8" s="61" t="s">
        <v>135</v>
      </c>
      <c r="C8" s="95">
        <f>NOMINA!I51</f>
        <v>726903.28666666674</v>
      </c>
      <c r="D8" s="61" t="s">
        <v>136</v>
      </c>
      <c r="E8" s="95">
        <f>NOMINA!E26</f>
        <v>369582.4</v>
      </c>
    </row>
    <row r="9" spans="2:5" s="63" customFormat="1" ht="15.75">
      <c r="B9" s="61"/>
      <c r="C9" s="95"/>
      <c r="D9" s="61" t="s">
        <v>137</v>
      </c>
      <c r="E9" s="95">
        <f>NOMINA!I25</f>
        <v>273216.66666666669</v>
      </c>
    </row>
    <row r="10" spans="2:5" s="63" customFormat="1" ht="15.75">
      <c r="B10" s="61"/>
      <c r="C10" s="61"/>
      <c r="D10" s="61" t="s">
        <v>138</v>
      </c>
      <c r="E10" s="126">
        <v>4166666</v>
      </c>
    </row>
    <row r="11" spans="2:5" s="63" customFormat="1" ht="15.75">
      <c r="B11" s="61"/>
      <c r="C11" s="61"/>
      <c r="D11" s="61"/>
      <c r="E11" s="61"/>
    </row>
    <row r="12" spans="2:5" s="63" customFormat="1" ht="15.75">
      <c r="B12" s="61"/>
      <c r="C12" s="61"/>
      <c r="D12" s="61"/>
      <c r="E12" s="61"/>
    </row>
    <row r="13" spans="2:5" s="63" customFormat="1" ht="15.75">
      <c r="B13" s="61"/>
      <c r="C13" s="61"/>
      <c r="D13" s="61"/>
      <c r="E13" s="61"/>
    </row>
    <row r="14" spans="2:5" s="63" customFormat="1" ht="15.75">
      <c r="B14" s="61"/>
      <c r="C14" s="61"/>
      <c r="D14" s="61"/>
      <c r="E14" s="61"/>
    </row>
    <row r="15" spans="2:5" s="63" customFormat="1" ht="15.75">
      <c r="B15" s="61"/>
      <c r="C15" s="61"/>
      <c r="D15" s="61"/>
      <c r="E15" s="126"/>
    </row>
    <row r="16" spans="2:5" s="62" customFormat="1" ht="15.75">
      <c r="B16" s="67" t="s">
        <v>139</v>
      </c>
      <c r="C16" s="199">
        <f>C6+C7+C8+C9</f>
        <v>4640172.4085866669</v>
      </c>
      <c r="D16" s="67" t="s">
        <v>140</v>
      </c>
      <c r="E16" s="199">
        <f>SUM(E6:E15)</f>
        <v>9709465.0666666664</v>
      </c>
    </row>
    <row r="17" spans="2:5" s="63" customFormat="1" ht="15.75"/>
    <row r="18" spans="2:5" s="63" customFormat="1" ht="15.75">
      <c r="B18" s="332" t="s">
        <v>141</v>
      </c>
      <c r="C18" s="333"/>
      <c r="D18" s="334"/>
      <c r="E18" s="200">
        <f>C16+E16</f>
        <v>14349637.475253332</v>
      </c>
    </row>
  </sheetData>
  <mergeCells count="2">
    <mergeCell ref="B3:E4"/>
    <mergeCell ref="B18:D18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 tint="-0.249977111117893"/>
  </sheetPr>
  <dimension ref="B2:E13"/>
  <sheetViews>
    <sheetView topLeftCell="A2" workbookViewId="0">
      <selection activeCell="D6" sqref="D6"/>
    </sheetView>
  </sheetViews>
  <sheetFormatPr defaultColWidth="11.42578125" defaultRowHeight="15"/>
  <cols>
    <col min="2" max="2" width="10.85546875" customWidth="1"/>
    <col min="3" max="3" width="48.7109375" customWidth="1"/>
    <col min="4" max="4" width="18.42578125" customWidth="1"/>
    <col min="5" max="5" width="16" customWidth="1"/>
  </cols>
  <sheetData>
    <row r="2" spans="2:5" ht="15.75" thickBot="1"/>
    <row r="3" spans="2:5">
      <c r="C3" s="335" t="s">
        <v>142</v>
      </c>
      <c r="D3" s="336"/>
      <c r="E3" s="337"/>
    </row>
    <row r="4" spans="2:5" ht="36.75" customHeight="1" thickBot="1">
      <c r="C4" s="338"/>
      <c r="D4" s="339"/>
      <c r="E4" s="340"/>
    </row>
    <row r="5" spans="2:5" ht="15.75">
      <c r="B5" s="63"/>
      <c r="C5" s="367"/>
      <c r="D5" s="63"/>
      <c r="E5" s="368"/>
    </row>
    <row r="6" spans="2:5" ht="15" customHeight="1">
      <c r="B6" s="63"/>
      <c r="C6" s="129" t="s">
        <v>141</v>
      </c>
      <c r="D6" s="369">
        <f>'CF-GA'!E18</f>
        <v>14349637.475253332</v>
      </c>
      <c r="E6" s="368"/>
    </row>
    <row r="7" spans="2:5" ht="15" customHeight="1">
      <c r="B7" s="63"/>
      <c r="C7" s="129" t="s">
        <v>143</v>
      </c>
      <c r="D7" s="370" t="e">
        <f>#REF!</f>
        <v>#REF!</v>
      </c>
      <c r="E7" s="368"/>
    </row>
    <row r="8" spans="2:5" ht="15.75">
      <c r="B8" s="63"/>
      <c r="C8" s="367"/>
      <c r="D8" s="63"/>
      <c r="E8" s="368"/>
    </row>
    <row r="9" spans="2:5" ht="16.5" thickBot="1">
      <c r="B9" s="63"/>
      <c r="C9" s="371" t="s">
        <v>144</v>
      </c>
      <c r="D9" s="372"/>
      <c r="E9" s="373" t="e">
        <f>D6/D7</f>
        <v>#REF!</v>
      </c>
    </row>
    <row r="10" spans="2:5" ht="16.5" thickBot="1">
      <c r="B10" s="63"/>
      <c r="C10" s="341" t="s">
        <v>145</v>
      </c>
      <c r="D10" s="374"/>
      <c r="E10" s="375" t="e">
        <f>#REF!/#REF!*'P E'!E9/#REF!</f>
        <v>#REF!</v>
      </c>
    </row>
    <row r="11" spans="2:5" ht="16.5" thickBot="1">
      <c r="B11" s="63"/>
      <c r="C11" s="341" t="s">
        <v>146</v>
      </c>
      <c r="D11" s="374"/>
      <c r="E11" s="375" t="e">
        <f>#REF!/#REF!*'P E'!E9/#REF!</f>
        <v>#REF!</v>
      </c>
    </row>
    <row r="12" spans="2:5" ht="16.5" thickBot="1">
      <c r="C12" s="342" t="s">
        <v>147</v>
      </c>
      <c r="D12" s="376"/>
      <c r="E12" s="377" t="e">
        <f>#REF!/#REF!*'P E'!E9/#REF!</f>
        <v>#REF!</v>
      </c>
    </row>
    <row r="13" spans="2:5" ht="15.75" thickBot="1">
      <c r="D13" s="44" t="s">
        <v>148</v>
      </c>
      <c r="E13" s="128" t="e">
        <f>SUM(E10:E12)</f>
        <v>#REF!</v>
      </c>
    </row>
  </sheetData>
  <mergeCells count="5">
    <mergeCell ref="C3:E4"/>
    <mergeCell ref="C9:D9"/>
    <mergeCell ref="C10:D10"/>
    <mergeCell ref="C11:D11"/>
    <mergeCell ref="C12:D12"/>
  </mergeCells>
  <pageMargins left="0.7" right="0.7" top="0.75" bottom="0.75" header="0.3" footer="0.3"/>
  <pageSetup orientation="portrait"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E70"/>
  <sheetViews>
    <sheetView topLeftCell="A23" zoomScaleNormal="100" workbookViewId="0">
      <selection activeCell="G46" sqref="G46"/>
    </sheetView>
  </sheetViews>
  <sheetFormatPr defaultColWidth="11.42578125" defaultRowHeight="15"/>
  <cols>
    <col min="3" max="3" width="42.42578125" customWidth="1"/>
    <col min="4" max="4" width="14.140625" bestFit="1" customWidth="1"/>
    <col min="5" max="5" width="16.28515625" bestFit="1" customWidth="1"/>
    <col min="7" max="7" width="13.140625" customWidth="1"/>
    <col min="8" max="8" width="13.5703125" customWidth="1"/>
    <col min="10" max="10" width="11.5703125" bestFit="1" customWidth="1"/>
    <col min="13" max="13" width="11.5703125" bestFit="1" customWidth="1"/>
    <col min="16" max="16" width="11.5703125" bestFit="1" customWidth="1"/>
  </cols>
  <sheetData>
    <row r="2" spans="2:5" ht="15.75" thickBot="1"/>
    <row r="3" spans="2:5">
      <c r="B3" s="346" t="s">
        <v>149</v>
      </c>
      <c r="C3" s="347"/>
      <c r="D3" s="347"/>
      <c r="E3" s="348"/>
    </row>
    <row r="4" spans="2:5" ht="32.25" customHeight="1">
      <c r="B4" s="343" t="s">
        <v>79</v>
      </c>
      <c r="C4" s="344"/>
      <c r="D4" s="344"/>
      <c r="E4" s="345"/>
    </row>
    <row r="5" spans="2:5">
      <c r="B5" s="343" t="s">
        <v>150</v>
      </c>
      <c r="C5" s="344"/>
      <c r="D5" s="344"/>
      <c r="E5" s="345"/>
    </row>
    <row r="6" spans="2:5">
      <c r="B6" s="36"/>
      <c r="E6" s="40"/>
    </row>
    <row r="7" spans="2:5">
      <c r="B7" s="41">
        <v>1</v>
      </c>
      <c r="C7" s="42" t="s">
        <v>151</v>
      </c>
      <c r="E7" s="40"/>
    </row>
    <row r="8" spans="2:5">
      <c r="B8" s="41">
        <v>11</v>
      </c>
      <c r="C8" s="42" t="s">
        <v>152</v>
      </c>
      <c r="E8" s="40"/>
    </row>
    <row r="9" spans="2:5">
      <c r="B9" s="41">
        <v>1105</v>
      </c>
      <c r="C9" s="54" t="s">
        <v>153</v>
      </c>
      <c r="E9" s="115"/>
    </row>
    <row r="10" spans="2:5">
      <c r="B10" s="41">
        <v>1110</v>
      </c>
      <c r="C10" s="54" t="s">
        <v>154</v>
      </c>
      <c r="E10" s="115"/>
    </row>
    <row r="11" spans="2:5">
      <c r="B11" s="41">
        <v>13</v>
      </c>
      <c r="C11" s="43" t="s">
        <v>155</v>
      </c>
      <c r="E11" s="116"/>
    </row>
    <row r="12" spans="2:5">
      <c r="B12" s="41">
        <v>1305</v>
      </c>
      <c r="C12" s="54" t="s">
        <v>156</v>
      </c>
      <c r="E12" s="40"/>
    </row>
    <row r="13" spans="2:5">
      <c r="B13" s="41">
        <v>14</v>
      </c>
      <c r="C13" s="42" t="s">
        <v>157</v>
      </c>
      <c r="E13" s="40"/>
    </row>
    <row r="14" spans="2:5">
      <c r="B14" s="41">
        <v>1405</v>
      </c>
      <c r="C14" s="54" t="s">
        <v>158</v>
      </c>
      <c r="E14" s="115">
        <v>30000000</v>
      </c>
    </row>
    <row r="15" spans="2:5">
      <c r="B15" s="41">
        <v>1435</v>
      </c>
      <c r="C15" s="54" t="s">
        <v>159</v>
      </c>
      <c r="E15" s="115">
        <v>80000000</v>
      </c>
    </row>
    <row r="16" spans="2:5">
      <c r="B16" s="41">
        <v>15</v>
      </c>
      <c r="C16" s="42" t="s">
        <v>121</v>
      </c>
      <c r="E16" s="40"/>
    </row>
    <row r="17" spans="2:5">
      <c r="B17" s="41">
        <v>1520</v>
      </c>
      <c r="C17" s="54" t="s">
        <v>6</v>
      </c>
      <c r="E17" s="115">
        <f>P.I!F13</f>
        <v>77402000</v>
      </c>
    </row>
    <row r="18" spans="2:5">
      <c r="B18" s="41">
        <v>1524</v>
      </c>
      <c r="C18" s="54" t="s">
        <v>20</v>
      </c>
      <c r="E18" s="115"/>
    </row>
    <row r="19" spans="2:5">
      <c r="B19" s="41">
        <v>1528</v>
      </c>
      <c r="C19" s="54" t="s">
        <v>160</v>
      </c>
      <c r="E19" s="115">
        <f>P.I!F23</f>
        <v>4065000</v>
      </c>
    </row>
    <row r="20" spans="2:5">
      <c r="B20" s="41">
        <v>1536</v>
      </c>
      <c r="C20" s="54" t="s">
        <v>161</v>
      </c>
      <c r="E20" s="115">
        <f>P.I!F31</f>
        <v>7900000</v>
      </c>
    </row>
    <row r="21" spans="2:5">
      <c r="B21" s="41">
        <v>1540</v>
      </c>
      <c r="C21" s="54" t="s">
        <v>162</v>
      </c>
      <c r="E21" s="56"/>
    </row>
    <row r="22" spans="2:5">
      <c r="B22" s="41"/>
      <c r="C22" s="71" t="s">
        <v>163</v>
      </c>
      <c r="E22" s="75">
        <f>E9+E14+E15+E17+E19+E20</f>
        <v>199367000</v>
      </c>
    </row>
    <row r="23" spans="2:5">
      <c r="B23" s="41">
        <v>2</v>
      </c>
      <c r="C23" s="42" t="s">
        <v>164</v>
      </c>
      <c r="E23" s="40"/>
    </row>
    <row r="24" spans="2:5">
      <c r="B24" s="41">
        <v>21</v>
      </c>
      <c r="C24" s="42" t="s">
        <v>165</v>
      </c>
      <c r="E24" s="40"/>
    </row>
    <row r="25" spans="2:5">
      <c r="B25" s="41">
        <v>2105</v>
      </c>
      <c r="C25" s="54" t="s">
        <v>166</v>
      </c>
      <c r="E25" s="116">
        <v>80000000</v>
      </c>
    </row>
    <row r="26" spans="2:5">
      <c r="B26" s="41">
        <v>22</v>
      </c>
      <c r="C26" s="43" t="s">
        <v>167</v>
      </c>
      <c r="E26" s="40"/>
    </row>
    <row r="27" spans="2:5">
      <c r="B27" s="41">
        <v>2205</v>
      </c>
      <c r="C27" s="54" t="s">
        <v>168</v>
      </c>
      <c r="E27" s="115">
        <v>100000000</v>
      </c>
    </row>
    <row r="28" spans="2:5">
      <c r="B28" s="41"/>
      <c r="C28" s="71" t="s">
        <v>169</v>
      </c>
      <c r="E28" s="75">
        <f>E25+E27</f>
        <v>180000000</v>
      </c>
    </row>
    <row r="29" spans="2:5">
      <c r="B29" s="41">
        <v>3</v>
      </c>
      <c r="C29" s="44" t="s">
        <v>170</v>
      </c>
      <c r="E29" s="40"/>
    </row>
    <row r="30" spans="2:5">
      <c r="B30" s="41">
        <v>31</v>
      </c>
      <c r="C30" s="44" t="s">
        <v>171</v>
      </c>
      <c r="E30" s="40"/>
    </row>
    <row r="31" spans="2:5">
      <c r="B31" s="41">
        <v>3115</v>
      </c>
      <c r="C31" s="55" t="s">
        <v>172</v>
      </c>
      <c r="E31" s="115">
        <v>70000000</v>
      </c>
    </row>
    <row r="32" spans="2:5">
      <c r="B32" s="71"/>
      <c r="C32" s="71" t="s">
        <v>173</v>
      </c>
      <c r="E32" s="75">
        <f>E31</f>
        <v>70000000</v>
      </c>
    </row>
    <row r="33" spans="2:5">
      <c r="B33" s="195"/>
      <c r="C33" s="196" t="s">
        <v>174</v>
      </c>
      <c r="D33" s="196"/>
      <c r="E33" s="197">
        <f>E28+E32</f>
        <v>250000000</v>
      </c>
    </row>
    <row r="34" spans="2:5" ht="15.75" thickBot="1">
      <c r="B34" s="45"/>
      <c r="C34" s="46"/>
      <c r="D34" s="46"/>
      <c r="E34" s="47"/>
    </row>
    <row r="36" spans="2:5" ht="15.75" thickBot="1">
      <c r="C36" t="s">
        <v>175</v>
      </c>
    </row>
    <row r="37" spans="2:5">
      <c r="B37" s="346" t="s">
        <v>176</v>
      </c>
      <c r="C37" s="347"/>
      <c r="D37" s="347"/>
      <c r="E37" s="348"/>
    </row>
    <row r="38" spans="2:5" ht="29.25" customHeight="1">
      <c r="B38" s="343" t="s">
        <v>79</v>
      </c>
      <c r="C38" s="344"/>
      <c r="D38" s="344"/>
      <c r="E38" s="345"/>
    </row>
    <row r="39" spans="2:5">
      <c r="B39" s="343" t="s">
        <v>177</v>
      </c>
      <c r="C39" s="344"/>
      <c r="D39" s="344"/>
      <c r="E39" s="345"/>
    </row>
    <row r="40" spans="2:5">
      <c r="B40" s="36"/>
      <c r="D40" s="37">
        <v>1</v>
      </c>
      <c r="E40" s="51">
        <v>2</v>
      </c>
    </row>
    <row r="41" spans="2:5">
      <c r="B41" s="41">
        <v>1</v>
      </c>
      <c r="C41" s="42" t="s">
        <v>151</v>
      </c>
      <c r="E41" s="40"/>
    </row>
    <row r="42" spans="2:5">
      <c r="B42" s="41">
        <v>11</v>
      </c>
      <c r="C42" s="42" t="s">
        <v>152</v>
      </c>
      <c r="E42" s="40"/>
    </row>
    <row r="43" spans="2:5">
      <c r="B43" s="41">
        <v>1105</v>
      </c>
      <c r="C43" s="54" t="s">
        <v>153</v>
      </c>
      <c r="E43" s="116">
        <v>300000000</v>
      </c>
    </row>
    <row r="44" spans="2:5">
      <c r="B44" s="41">
        <v>1110</v>
      </c>
      <c r="C44" s="54" t="s">
        <v>154</v>
      </c>
      <c r="E44" s="116"/>
    </row>
    <row r="45" spans="2:5">
      <c r="B45" s="41">
        <v>13</v>
      </c>
      <c r="C45" s="43" t="s">
        <v>155</v>
      </c>
      <c r="E45" s="40"/>
    </row>
    <row r="46" spans="2:5">
      <c r="B46" s="41">
        <v>1305</v>
      </c>
      <c r="C46" s="54" t="s">
        <v>156</v>
      </c>
      <c r="E46" s="40"/>
    </row>
    <row r="47" spans="2:5">
      <c r="B47" s="41">
        <v>14</v>
      </c>
      <c r="C47" s="42" t="s">
        <v>157</v>
      </c>
      <c r="E47" s="40"/>
    </row>
    <row r="48" spans="2:5">
      <c r="B48" s="41">
        <v>1405</v>
      </c>
      <c r="C48" s="54" t="s">
        <v>158</v>
      </c>
      <c r="E48" s="115">
        <f>E14</f>
        <v>30000000</v>
      </c>
    </row>
    <row r="49" spans="2:5">
      <c r="B49" s="41">
        <v>1435</v>
      </c>
      <c r="C49" s="54" t="s">
        <v>159</v>
      </c>
      <c r="E49" s="116">
        <f>E15</f>
        <v>80000000</v>
      </c>
    </row>
    <row r="50" spans="2:5">
      <c r="B50" s="41">
        <v>15</v>
      </c>
      <c r="C50" s="42" t="s">
        <v>121</v>
      </c>
      <c r="E50" s="40"/>
    </row>
    <row r="51" spans="2:5">
      <c r="B51" s="41">
        <v>1520</v>
      </c>
      <c r="C51" s="54" t="s">
        <v>6</v>
      </c>
      <c r="D51" s="117"/>
      <c r="E51" s="115">
        <f>E17</f>
        <v>77402000</v>
      </c>
    </row>
    <row r="52" spans="2:5">
      <c r="B52" s="41"/>
      <c r="C52" s="54"/>
      <c r="D52" s="118"/>
      <c r="E52" s="40"/>
    </row>
    <row r="53" spans="2:5">
      <c r="B53" s="41">
        <v>1524</v>
      </c>
      <c r="C53" s="54" t="s">
        <v>20</v>
      </c>
      <c r="D53" s="118"/>
      <c r="E53" s="116">
        <f>E19</f>
        <v>4065000</v>
      </c>
    </row>
    <row r="54" spans="2:5">
      <c r="B54" s="41">
        <v>1536</v>
      </c>
      <c r="C54" s="54" t="s">
        <v>161</v>
      </c>
      <c r="E54" s="116">
        <f>E20</f>
        <v>7900000</v>
      </c>
    </row>
    <row r="55" spans="2:5">
      <c r="B55" s="41"/>
      <c r="C55" s="54"/>
      <c r="E55" s="40"/>
    </row>
    <row r="56" spans="2:5">
      <c r="B56" s="41"/>
      <c r="C56" s="71" t="s">
        <v>163</v>
      </c>
      <c r="E56" s="75">
        <f>E43+E48+E49+E51+E53+E54</f>
        <v>499367000</v>
      </c>
    </row>
    <row r="57" spans="2:5">
      <c r="B57" s="41">
        <v>2</v>
      </c>
      <c r="C57" s="42" t="s">
        <v>164</v>
      </c>
      <c r="E57" s="40"/>
    </row>
    <row r="58" spans="2:5">
      <c r="B58" s="41">
        <v>21</v>
      </c>
      <c r="C58" s="42" t="s">
        <v>165</v>
      </c>
      <c r="E58" s="40"/>
    </row>
    <row r="59" spans="2:5">
      <c r="B59" s="41"/>
      <c r="C59" s="54" t="s">
        <v>178</v>
      </c>
      <c r="E59" s="115">
        <f>'TABLA AMORTIZACION'!D72</f>
        <v>67258887.432176501</v>
      </c>
    </row>
    <row r="60" spans="2:5">
      <c r="B60" s="41">
        <v>2105</v>
      </c>
      <c r="C60" s="54" t="s">
        <v>166</v>
      </c>
      <c r="E60" s="115">
        <v>80000000</v>
      </c>
    </row>
    <row r="61" spans="2:5">
      <c r="B61" s="41">
        <v>22</v>
      </c>
      <c r="C61" s="42" t="s">
        <v>167</v>
      </c>
      <c r="E61" s="40"/>
    </row>
    <row r="62" spans="2:5">
      <c r="B62" s="41">
        <v>2205</v>
      </c>
      <c r="C62" s="70" t="s">
        <v>168</v>
      </c>
      <c r="E62" s="116">
        <f>E27</f>
        <v>100000000</v>
      </c>
    </row>
    <row r="63" spans="2:5">
      <c r="B63" s="41">
        <v>24</v>
      </c>
      <c r="C63" s="69" t="s">
        <v>179</v>
      </c>
    </row>
    <row r="64" spans="2:5">
      <c r="B64" s="41">
        <v>2408</v>
      </c>
      <c r="C64" s="54" t="s">
        <v>180</v>
      </c>
      <c r="E64" s="118">
        <v>26341447</v>
      </c>
    </row>
    <row r="65" spans="2:5">
      <c r="B65" s="41"/>
      <c r="C65" s="71" t="s">
        <v>169</v>
      </c>
      <c r="E65" s="75">
        <f>E59+E60+E62+E64</f>
        <v>273600334.43217647</v>
      </c>
    </row>
    <row r="66" spans="2:5">
      <c r="B66" s="41">
        <v>3</v>
      </c>
      <c r="C66" s="44" t="s">
        <v>170</v>
      </c>
      <c r="E66" s="40"/>
    </row>
    <row r="67" spans="2:5">
      <c r="B67" s="41">
        <v>31</v>
      </c>
      <c r="C67" s="44" t="s">
        <v>171</v>
      </c>
      <c r="E67" s="40"/>
    </row>
    <row r="68" spans="2:5">
      <c r="B68" s="41">
        <v>3115</v>
      </c>
      <c r="C68" s="55" t="s">
        <v>172</v>
      </c>
      <c r="E68" s="115">
        <v>70000000</v>
      </c>
    </row>
    <row r="69" spans="2:5">
      <c r="B69" s="41"/>
      <c r="C69" s="71" t="s">
        <v>173</v>
      </c>
      <c r="E69" s="75">
        <f>E56-E65</f>
        <v>225766665.56782353</v>
      </c>
    </row>
    <row r="70" spans="2:5" ht="15.75" thickBot="1">
      <c r="B70" s="45"/>
      <c r="C70" s="68" t="s">
        <v>174</v>
      </c>
      <c r="D70" s="46"/>
      <c r="E70" s="197">
        <f>E65+E69</f>
        <v>499367000</v>
      </c>
    </row>
  </sheetData>
  <mergeCells count="6">
    <mergeCell ref="B39:E39"/>
    <mergeCell ref="B3:E3"/>
    <mergeCell ref="B4:E4"/>
    <mergeCell ref="B5:E5"/>
    <mergeCell ref="B37:E37"/>
    <mergeCell ref="B38:E38"/>
  </mergeCells>
  <pageMargins left="0.7" right="0.7" top="0.75" bottom="0.75" header="0.3" footer="0.3"/>
  <pageSetup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3" tint="0.39997558519241921"/>
  </sheetPr>
  <dimension ref="A1:N26"/>
  <sheetViews>
    <sheetView topLeftCell="A4" workbookViewId="0">
      <selection activeCell="A21" sqref="A21:B23"/>
    </sheetView>
  </sheetViews>
  <sheetFormatPr defaultColWidth="11.42578125" defaultRowHeight="15"/>
  <cols>
    <col min="1" max="1" width="35.85546875" customWidth="1"/>
    <col min="2" max="2" width="22.140625" customWidth="1"/>
    <col min="3" max="3" width="20.7109375" customWidth="1"/>
    <col min="4" max="4" width="25.28515625" customWidth="1"/>
    <col min="5" max="5" width="21.85546875" customWidth="1"/>
    <col min="6" max="6" width="27.140625" customWidth="1"/>
    <col min="7" max="7" width="27.28515625" customWidth="1"/>
    <col min="10" max="10" width="18.85546875" bestFit="1" customWidth="1"/>
    <col min="12" max="12" width="12.5703125" bestFit="1" customWidth="1"/>
  </cols>
  <sheetData>
    <row r="1" spans="1:12">
      <c r="A1" s="130" t="s">
        <v>181</v>
      </c>
      <c r="B1" s="131" t="s">
        <v>182</v>
      </c>
      <c r="C1" s="131" t="s">
        <v>183</v>
      </c>
      <c r="D1" s="131" t="s">
        <v>184</v>
      </c>
      <c r="E1" s="131" t="s">
        <v>185</v>
      </c>
      <c r="F1" s="131" t="s">
        <v>186</v>
      </c>
      <c r="G1" s="132" t="s">
        <v>187</v>
      </c>
    </row>
    <row r="2" spans="1:12">
      <c r="A2" s="133" t="s">
        <v>188</v>
      </c>
      <c r="B2" s="109"/>
      <c r="C2" s="76">
        <f>J3</f>
        <v>250000000</v>
      </c>
      <c r="D2" s="76">
        <f>J4</f>
        <v>300000000</v>
      </c>
      <c r="E2" s="76">
        <f>J5</f>
        <v>360000000</v>
      </c>
      <c r="F2" s="76">
        <f>J6</f>
        <v>432000000</v>
      </c>
      <c r="G2" s="74">
        <f>J7</f>
        <v>518400000</v>
      </c>
      <c r="I2" s="194" t="s">
        <v>189</v>
      </c>
      <c r="J2" s="194"/>
      <c r="L2" s="194" t="s">
        <v>190</v>
      </c>
    </row>
    <row r="3" spans="1:12">
      <c r="A3" s="133" t="s">
        <v>191</v>
      </c>
      <c r="B3" s="109"/>
      <c r="C3" s="72">
        <f>J10</f>
        <v>50000000</v>
      </c>
      <c r="D3" s="72">
        <f>J11</f>
        <v>100000000</v>
      </c>
      <c r="E3" s="72">
        <f>J12</f>
        <v>150000000</v>
      </c>
      <c r="F3" s="72">
        <f>J13</f>
        <v>165000000</v>
      </c>
      <c r="G3" s="73">
        <f>J14</f>
        <v>181500000</v>
      </c>
      <c r="I3" s="1" t="s">
        <v>192</v>
      </c>
      <c r="J3" s="72">
        <v>250000000</v>
      </c>
      <c r="L3" s="76">
        <f>J3*8%</f>
        <v>20000000</v>
      </c>
    </row>
    <row r="4" spans="1:12">
      <c r="A4" s="133" t="s">
        <v>193</v>
      </c>
      <c r="B4" s="109"/>
      <c r="C4" s="72">
        <f>J17</f>
        <v>2200000</v>
      </c>
      <c r="D4" s="72">
        <f>J18</f>
        <v>4640000</v>
      </c>
      <c r="E4" s="72">
        <f>J19</f>
        <v>5104000</v>
      </c>
      <c r="F4" s="72">
        <f>J20</f>
        <v>5614400</v>
      </c>
      <c r="G4" s="73">
        <f>J21</f>
        <v>6175840</v>
      </c>
      <c r="I4" s="1" t="s">
        <v>194</v>
      </c>
      <c r="J4" s="72">
        <v>300000000</v>
      </c>
      <c r="L4" s="76">
        <f>J4*8%</f>
        <v>24000000</v>
      </c>
    </row>
    <row r="5" spans="1:12">
      <c r="A5" s="133" t="s">
        <v>195</v>
      </c>
      <c r="B5" s="109"/>
      <c r="C5" s="72">
        <f>D!E14</f>
        <v>47575350</v>
      </c>
      <c r="D5" s="72">
        <f>C5</f>
        <v>47575350</v>
      </c>
      <c r="E5" s="72">
        <f>D5</f>
        <v>47575350</v>
      </c>
      <c r="F5" s="72">
        <f>E5</f>
        <v>47575350</v>
      </c>
      <c r="G5" s="72">
        <f>F5</f>
        <v>47575350</v>
      </c>
      <c r="I5" s="1" t="s">
        <v>196</v>
      </c>
      <c r="J5" s="72">
        <v>360000000</v>
      </c>
      <c r="L5" s="76">
        <f>J5*8%</f>
        <v>28800000</v>
      </c>
    </row>
    <row r="6" spans="1:12">
      <c r="A6" s="134" t="s">
        <v>197</v>
      </c>
      <c r="B6" s="109"/>
      <c r="C6" s="72">
        <f>'TABLA AMORTIZACION'!G23</f>
        <v>20759481.252692487</v>
      </c>
      <c r="D6" s="72">
        <f>'TABLA AMORTIZACION'!G35</f>
        <v>18072528.766188566</v>
      </c>
      <c r="E6" s="72">
        <f>'TABLA AMORTIZACION'!G47</f>
        <v>14554988.65696843</v>
      </c>
      <c r="F6" s="72">
        <f>'TABLA AMORTIZACION'!G59</f>
        <v>9950110.646612756</v>
      </c>
      <c r="G6" s="72">
        <f>'TABLA AMORTIZACION'!G71</f>
        <v>3921778.1097142571</v>
      </c>
      <c r="I6" s="1" t="s">
        <v>198</v>
      </c>
      <c r="J6" s="72">
        <v>432000000</v>
      </c>
      <c r="L6" s="76">
        <f>J6*8%</f>
        <v>34560000</v>
      </c>
    </row>
    <row r="7" spans="1:12">
      <c r="A7" s="133" t="s">
        <v>199</v>
      </c>
      <c r="B7" s="109">
        <f>B2-B3-B4-B5-B6</f>
        <v>0</v>
      </c>
      <c r="C7" s="127">
        <f>C2-C3-C4-C5-C6</f>
        <v>129465168.74730751</v>
      </c>
      <c r="D7" s="127">
        <f t="shared" ref="D7:G7" si="0">D2-D3-D4-D5-D6</f>
        <v>129712121.23381144</v>
      </c>
      <c r="E7" s="127">
        <f t="shared" si="0"/>
        <v>142765661.34303159</v>
      </c>
      <c r="F7" s="127">
        <f t="shared" si="0"/>
        <v>203860139.35338724</v>
      </c>
      <c r="G7" s="127">
        <f t="shared" si="0"/>
        <v>279227031.89028573</v>
      </c>
      <c r="I7" s="1" t="s">
        <v>200</v>
      </c>
      <c r="J7" s="72">
        <v>518400000</v>
      </c>
      <c r="L7" s="76">
        <f>J7*8%</f>
        <v>41472000</v>
      </c>
    </row>
    <row r="8" spans="1:12">
      <c r="A8" s="133" t="s">
        <v>201</v>
      </c>
      <c r="B8" s="109">
        <f>B7*$C$26</f>
        <v>0</v>
      </c>
      <c r="C8" s="127">
        <f>L3</f>
        <v>20000000</v>
      </c>
      <c r="D8" s="127">
        <f>L4</f>
        <v>24000000</v>
      </c>
      <c r="E8" s="127">
        <f>L5</f>
        <v>28800000</v>
      </c>
      <c r="F8" s="127">
        <f>L6</f>
        <v>34560000</v>
      </c>
      <c r="G8" s="127">
        <f>L7</f>
        <v>41472000</v>
      </c>
    </row>
    <row r="9" spans="1:12">
      <c r="A9" s="133" t="s">
        <v>202</v>
      </c>
      <c r="B9" s="109">
        <f>B7-B8</f>
        <v>0</v>
      </c>
      <c r="C9" s="127">
        <f t="shared" ref="C9:G9" si="1">C7-C8</f>
        <v>109465168.74730751</v>
      </c>
      <c r="D9" s="127">
        <f t="shared" si="1"/>
        <v>105712121.23381144</v>
      </c>
      <c r="E9" s="127">
        <f t="shared" si="1"/>
        <v>113965661.34303159</v>
      </c>
      <c r="F9" s="127">
        <f t="shared" si="1"/>
        <v>169300139.35338724</v>
      </c>
      <c r="G9" s="135">
        <f t="shared" si="1"/>
        <v>237755031.89028573</v>
      </c>
      <c r="I9" s="194" t="s">
        <v>203</v>
      </c>
      <c r="J9" s="194"/>
    </row>
    <row r="10" spans="1:12">
      <c r="A10" s="133" t="s">
        <v>195</v>
      </c>
      <c r="B10" s="109">
        <f t="shared" ref="B10:G10" si="2">B5</f>
        <v>0</v>
      </c>
      <c r="C10" s="72">
        <f t="shared" si="2"/>
        <v>47575350</v>
      </c>
      <c r="D10" s="72">
        <f t="shared" si="2"/>
        <v>47575350</v>
      </c>
      <c r="E10" s="72">
        <f t="shared" si="2"/>
        <v>47575350</v>
      </c>
      <c r="F10" s="72">
        <f t="shared" si="2"/>
        <v>47575350</v>
      </c>
      <c r="G10" s="73">
        <f t="shared" si="2"/>
        <v>47575350</v>
      </c>
      <c r="I10" s="1" t="s">
        <v>204</v>
      </c>
      <c r="J10" s="72">
        <v>50000000</v>
      </c>
    </row>
    <row r="11" spans="1:12">
      <c r="A11" s="133" t="s">
        <v>205</v>
      </c>
      <c r="B11" s="136">
        <v>150000000</v>
      </c>
      <c r="C11" s="72"/>
      <c r="D11" s="72"/>
      <c r="E11" s="72"/>
      <c r="F11" s="72"/>
      <c r="G11" s="73"/>
      <c r="I11" s="1" t="s">
        <v>194</v>
      </c>
      <c r="J11" s="72">
        <v>100000000</v>
      </c>
    </row>
    <row r="12" spans="1:12">
      <c r="A12" s="133" t="s">
        <v>206</v>
      </c>
      <c r="B12" s="109"/>
      <c r="C12" s="72"/>
      <c r="D12" s="72"/>
      <c r="E12" s="72"/>
      <c r="F12" s="72"/>
      <c r="G12" s="73"/>
      <c r="I12" s="1" t="s">
        <v>207</v>
      </c>
      <c r="J12" s="72">
        <v>150000000</v>
      </c>
    </row>
    <row r="13" spans="1:12">
      <c r="A13" s="133" t="s">
        <v>208</v>
      </c>
      <c r="B13" s="109"/>
      <c r="C13" s="72"/>
      <c r="D13" s="72"/>
      <c r="E13" s="72"/>
      <c r="F13" s="72"/>
      <c r="G13" s="73"/>
      <c r="I13" s="1" t="s">
        <v>198</v>
      </c>
      <c r="J13" s="76">
        <v>165000000</v>
      </c>
    </row>
    <row r="14" spans="1:12">
      <c r="A14" s="137" t="s">
        <v>209</v>
      </c>
      <c r="B14" s="138">
        <v>80000000</v>
      </c>
      <c r="C14" s="139"/>
      <c r="D14" s="139"/>
      <c r="E14" s="139"/>
      <c r="F14" s="139"/>
      <c r="G14" s="140"/>
      <c r="I14" s="1" t="s">
        <v>200</v>
      </c>
      <c r="J14" s="76">
        <f>J13+16500000</f>
        <v>181500000</v>
      </c>
    </row>
    <row r="15" spans="1:12">
      <c r="A15" s="137" t="s">
        <v>210</v>
      </c>
      <c r="B15" s="138"/>
      <c r="C15" s="139">
        <f>'TABLA AMORTIZACION'!H23</f>
        <v>8692296.2337428238</v>
      </c>
      <c r="D15" s="139">
        <f>'TABLA AMORTIZACION'!H35</f>
        <v>11379248.720246742</v>
      </c>
      <c r="E15" s="139">
        <f>'TABLA AMORTIZACION'!H47</f>
        <v>14896788.829466878</v>
      </c>
      <c r="F15" s="139">
        <f>'TABLA AMORTIZACION'!H59</f>
        <v>19501666.839822549</v>
      </c>
      <c r="G15" s="139">
        <f>'TABLA AMORTIZACION'!H71</f>
        <v>25529999.376721047</v>
      </c>
    </row>
    <row r="16" spans="1:12" ht="15.75" thickBot="1">
      <c r="A16" s="141" t="s">
        <v>211</v>
      </c>
      <c r="B16" s="142">
        <f>B9+B10-B11+B12+B13+B14-B15</f>
        <v>-70000000</v>
      </c>
      <c r="C16" s="142">
        <f t="shared" ref="C16:F16" si="3">C9+C10-C11+C12+C13+C14-C15</f>
        <v>148348222.51356468</v>
      </c>
      <c r="D16" s="142">
        <f t="shared" si="3"/>
        <v>141908222.51356471</v>
      </c>
      <c r="E16" s="142">
        <f t="shared" si="3"/>
        <v>146644222.51356471</v>
      </c>
      <c r="F16" s="142">
        <f t="shared" si="3"/>
        <v>197373822.51356468</v>
      </c>
      <c r="G16" s="142">
        <f>G9+G10-G11+G12+G13+G14-G15</f>
        <v>259800382.51356468</v>
      </c>
      <c r="I16" s="194" t="s">
        <v>212</v>
      </c>
      <c r="J16" s="194"/>
    </row>
    <row r="17" spans="1:14">
      <c r="C17" s="44">
        <v>1</v>
      </c>
      <c r="D17" s="44">
        <v>2</v>
      </c>
      <c r="E17" s="44">
        <v>3</v>
      </c>
      <c r="F17" s="44">
        <v>4</v>
      </c>
      <c r="G17" s="44">
        <v>5</v>
      </c>
      <c r="I17" s="1" t="s">
        <v>204</v>
      </c>
      <c r="J17" s="72">
        <v>2200000</v>
      </c>
    </row>
    <row r="18" spans="1:14">
      <c r="A18" s="143" t="s">
        <v>213</v>
      </c>
      <c r="B18" s="1"/>
      <c r="C18" s="144">
        <f>PV($B$26,C17,-C16)</f>
        <v>123623518.76130387</v>
      </c>
      <c r="D18" s="144">
        <f>PV($B$26,D83,,-D16)</f>
        <v>141908222.51356471</v>
      </c>
      <c r="E18" s="144">
        <f t="shared" ref="E18:G18" si="4">PV($C$28,E17,,-E16)</f>
        <v>146644222.51356471</v>
      </c>
      <c r="F18" s="144">
        <f t="shared" si="4"/>
        <v>197373822.51356468</v>
      </c>
      <c r="G18" s="144">
        <f t="shared" si="4"/>
        <v>259800382.51356468</v>
      </c>
      <c r="I18" s="1" t="s">
        <v>194</v>
      </c>
      <c r="J18" s="72">
        <v>4640000</v>
      </c>
    </row>
    <row r="19" spans="1:14">
      <c r="A19" s="143" t="s">
        <v>214</v>
      </c>
      <c r="B19" s="144">
        <f>NPV(B26,C16:G16)</f>
        <v>506626532.22131521</v>
      </c>
      <c r="C19" s="1"/>
      <c r="D19" s="1"/>
      <c r="E19" s="1"/>
      <c r="F19" s="1"/>
      <c r="G19" s="1"/>
      <c r="I19" s="1" t="s">
        <v>207</v>
      </c>
      <c r="J19" s="76">
        <f>J18+464000</f>
        <v>5104000</v>
      </c>
    </row>
    <row r="20" spans="1:14">
      <c r="B20" s="106">
        <f>SUM(C18:G18)</f>
        <v>869350168.81556273</v>
      </c>
      <c r="I20" s="1" t="s">
        <v>198</v>
      </c>
      <c r="J20" s="72">
        <f>J19+510400</f>
        <v>5614400</v>
      </c>
    </row>
    <row r="21" spans="1:14">
      <c r="A21" s="143" t="s">
        <v>215</v>
      </c>
      <c r="B21" s="145">
        <f>B19+B16</f>
        <v>436626532.22131521</v>
      </c>
      <c r="C21" s="1"/>
      <c r="D21" s="1"/>
      <c r="E21" s="1"/>
      <c r="F21" s="1"/>
      <c r="G21" s="1"/>
      <c r="I21" s="1" t="s">
        <v>200</v>
      </c>
      <c r="J21" s="76">
        <f>J20+561440</f>
        <v>6175840</v>
      </c>
    </row>
    <row r="22" spans="1:14">
      <c r="A22" s="143" t="s">
        <v>216</v>
      </c>
      <c r="B22" s="146">
        <f>IRR(B16:G16)</f>
        <v>2.1174679029918271</v>
      </c>
      <c r="C22" s="1"/>
      <c r="D22" s="1"/>
      <c r="E22" s="1"/>
      <c r="F22" s="1"/>
      <c r="G22" s="1"/>
    </row>
    <row r="23" spans="1:14">
      <c r="A23" s="143" t="s">
        <v>217</v>
      </c>
      <c r="B23" s="147">
        <f>B19/-B16</f>
        <v>7.2375218888759312</v>
      </c>
      <c r="C23" s="1"/>
      <c r="D23" s="1"/>
      <c r="E23" s="1"/>
      <c r="F23" s="1"/>
      <c r="G23" s="1"/>
    </row>
    <row r="24" spans="1:14">
      <c r="A24" s="143" t="s">
        <v>218</v>
      </c>
      <c r="B24" s="1"/>
      <c r="C24" s="76">
        <f>-B16-C18</f>
        <v>-53623518.761303872</v>
      </c>
      <c r="D24" s="76">
        <f>C24-D18</f>
        <v>-195531741.27486858</v>
      </c>
      <c r="E24" s="76">
        <f t="shared" ref="E24:G24" si="5">D24-E18</f>
        <v>-342175963.78843331</v>
      </c>
      <c r="F24" s="76">
        <f t="shared" si="5"/>
        <v>-539549786.30199802</v>
      </c>
      <c r="G24" s="148">
        <f t="shared" si="5"/>
        <v>-799350168.81556273</v>
      </c>
      <c r="H24" s="148">
        <f t="shared" ref="H24" si="6">G24-H18</f>
        <v>-799350168.81556273</v>
      </c>
      <c r="I24" s="148" t="e">
        <f t="shared" ref="I24" si="7">H24-I18</f>
        <v>#VALUE!</v>
      </c>
      <c r="J24" s="148" t="e">
        <f t="shared" ref="J24" si="8">I24-J18</f>
        <v>#VALUE!</v>
      </c>
      <c r="K24" s="148" t="e">
        <f t="shared" ref="K24" si="9">J24-K18</f>
        <v>#VALUE!</v>
      </c>
      <c r="L24" s="148" t="e">
        <f t="shared" ref="L24" si="10">K24-L18</f>
        <v>#VALUE!</v>
      </c>
      <c r="M24" s="148" t="e">
        <f t="shared" ref="M24" si="11">L24-M18</f>
        <v>#VALUE!</v>
      </c>
      <c r="N24" s="148" t="e">
        <f t="shared" ref="N24" si="12">M24-N18</f>
        <v>#VALUE!</v>
      </c>
    </row>
    <row r="26" spans="1:14">
      <c r="A26" s="192" t="s">
        <v>219</v>
      </c>
      <c r="B26" s="193">
        <v>0.2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Hewlett-Packard Company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usuario</dc:creator>
  <cp:keywords/>
  <dc:description/>
  <cp:lastModifiedBy>Monica Maritza Cobos Calderon</cp:lastModifiedBy>
  <cp:revision/>
  <dcterms:created xsi:type="dcterms:W3CDTF">2010-05-31T14:59:32Z</dcterms:created>
  <dcterms:modified xsi:type="dcterms:W3CDTF">2025-07-01T21:57:42Z</dcterms:modified>
  <cp:category/>
  <cp:contentStatus/>
</cp:coreProperties>
</file>