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Ortodoncia/TOR 204/"/>
    </mc:Choice>
  </mc:AlternateContent>
  <xr:revisionPtr revIDLastSave="37" documentId="8_{04BE7ADA-E3DA-48F3-8E2E-7518287FCEC6}" xr6:coauthVersionLast="47" xr6:coauthVersionMax="47" xr10:uidLastSave="{E6F1149F-B352-44BB-AD33-33F01A2266FE}"/>
  <bookViews>
    <workbookView xWindow="-120" yWindow="-120" windowWidth="20730" windowHeight="11160" firstSheet="19" activeTab="24" xr2:uid="{8D3BE4D8-574E-48BC-BE13-55CD17F672A0}"/>
  </bookViews>
  <sheets>
    <sheet name="RESULTADOS" sheetId="5" r:id="rId1"/>
    <sheet name="OBJETIVOS" sheetId="2" r:id="rId2"/>
    <sheet name="OBJETIVO ESPECIFICO 1" sheetId="3" r:id="rId3"/>
    <sheet name="OBJETIVO ESPECIFICO 2" sheetId="1" r:id="rId4"/>
    <sheet name="DIAGNOSTICO LPHU" sheetId="4" r:id="rId5"/>
    <sheet name="Hoja1" sheetId="6" r:id="rId6"/>
    <sheet name="Tabla 1" sheetId="10" r:id="rId7"/>
    <sheet name="Tabla 2" sheetId="21" r:id="rId8"/>
    <sheet name="Tabla 3" sheetId="11" r:id="rId9"/>
    <sheet name="Tabla 4" sheetId="13" r:id="rId10"/>
    <sheet name="Tabla 5" sheetId="14" r:id="rId11"/>
    <sheet name="Tabla 6" sheetId="15" r:id="rId12"/>
    <sheet name="Tabla 7" sheetId="12" r:id="rId13"/>
    <sheet name="Tabla 8" sheetId="16" r:id="rId14"/>
    <sheet name="Tabla 9" sheetId="17" r:id="rId15"/>
    <sheet name="Tabla 10" sheetId="18" r:id="rId16"/>
    <sheet name="Tabla 11" sheetId="19" r:id="rId17"/>
    <sheet name="Tabla 12" sheetId="20" r:id="rId18"/>
    <sheet name="Tabla 1 Artic" sheetId="23" r:id="rId19"/>
    <sheet name="Tabla 2 Artic" sheetId="24" r:id="rId20"/>
    <sheet name="Tabla 3 Artic" sheetId="25" r:id="rId21"/>
    <sheet name="Tabla 4 Artic" sheetId="26" r:id="rId22"/>
    <sheet name="Tabla 5 Artic" sheetId="27" r:id="rId23"/>
    <sheet name="Tabla 6 Artic" sheetId="22" r:id="rId24"/>
    <sheet name="Tabla 7 Artic" sheetId="28" r:id="rId25"/>
  </sheets>
  <externalReferences>
    <externalReference r:id="rId26"/>
    <externalReference r:id="rId27"/>
  </externalReferences>
  <definedNames>
    <definedName name="_xlnm._FilterDatabase" localSheetId="4" hidden="1">'DIAGNOSTICO LPHU'!$A$1:$E$38</definedName>
    <definedName name="_xlchart.v1.0" hidden="1">'OBJETIVO ESPECIFICO 1'!$U$4</definedName>
    <definedName name="_xlchart.v1.1" hidden="1">'OBJETIVO ESPECIFICO 1'!$U$5:$U$22</definedName>
    <definedName name="_xlchart.v1.10" hidden="1">'OBJETIVO ESPECIFICO 2'!$X$118</definedName>
    <definedName name="_xlchart.v1.11" hidden="1">'OBJETIVO ESPECIFICO 2'!$X$119:$X$142</definedName>
    <definedName name="_xlchart.v1.12" hidden="1">'OBJETIVO ESPECIFICO 2'!$Y$118</definedName>
    <definedName name="_xlchart.v1.13" hidden="1">'OBJETIVO ESPECIFICO 2'!$Y$119:$Y$142</definedName>
    <definedName name="_xlchart.v1.14" hidden="1">'OBJETIVO ESPECIFICO 2'!$Z$118</definedName>
    <definedName name="_xlchart.v1.15" hidden="1">'OBJETIVO ESPECIFICO 2'!$Z$119:$Z$142</definedName>
    <definedName name="_xlchart.v1.2" hidden="1">'OBJETIVO ESPECIFICO 1'!$V$4</definedName>
    <definedName name="_xlchart.v1.3" hidden="1">'OBJETIVO ESPECIFICO 1'!$V$5:$V$22</definedName>
    <definedName name="_xlchart.v1.4" hidden="1">'OBJETIVO ESPECIFICO 2'!$U$4</definedName>
    <definedName name="_xlchart.v1.5" hidden="1">'OBJETIVO ESPECIFICO 2'!$U$5:$U$28</definedName>
    <definedName name="_xlchart.v1.6" hidden="1">'OBJETIVO ESPECIFICO 2'!$V$4</definedName>
    <definedName name="_xlchart.v1.7" hidden="1">'OBJETIVO ESPECIFICO 2'!$V$5:$V$28</definedName>
    <definedName name="_xlchart.v1.8" hidden="1">'OBJETIVO ESPECIFICO 2'!$AA$118</definedName>
    <definedName name="_xlchart.v1.9" hidden="1">'OBJETIVO ESPECIFICO 2'!$AA$119:$AA$142</definedName>
  </definedNames>
  <calcPr calcId="191028"/>
  <pivotCaches>
    <pivotCache cacheId="1" r:id="rId2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128" i="1" l="1"/>
  <c r="BK128" i="1"/>
  <c r="BI129" i="1"/>
  <c r="BK129" i="1"/>
  <c r="BI130" i="1"/>
  <c r="BK130" i="1"/>
  <c r="BI131" i="1"/>
  <c r="BK131" i="1"/>
  <c r="BI132" i="1"/>
  <c r="BK132" i="1"/>
  <c r="BK127" i="1"/>
  <c r="BI127" i="1"/>
  <c r="BH132" i="1"/>
  <c r="BG132" i="1"/>
  <c r="BF132" i="1"/>
  <c r="BE132" i="1"/>
  <c r="BH131" i="1"/>
  <c r="BG131" i="1"/>
  <c r="BF131" i="1"/>
  <c r="BE131" i="1"/>
  <c r="BH130" i="1"/>
  <c r="BG130" i="1"/>
  <c r="BF130" i="1"/>
  <c r="BE130" i="1"/>
  <c r="BH129" i="1"/>
  <c r="BG129" i="1"/>
  <c r="BF129" i="1"/>
  <c r="BE129" i="1"/>
  <c r="BH128" i="1"/>
  <c r="BG128" i="1"/>
  <c r="BF128" i="1"/>
  <c r="BE128" i="1"/>
  <c r="BH127" i="1"/>
  <c r="BG127" i="1"/>
  <c r="BF127" i="1"/>
  <c r="BE127" i="1"/>
  <c r="BG124" i="1"/>
  <c r="BH123" i="1"/>
  <c r="BG123" i="1"/>
  <c r="BE123" i="1"/>
  <c r="BH122" i="1"/>
  <c r="BG122" i="1"/>
  <c r="BE122" i="1"/>
  <c r="BH121" i="1"/>
  <c r="BG121" i="1"/>
  <c r="BE121" i="1"/>
  <c r="BH120" i="1"/>
  <c r="BG120" i="1"/>
  <c r="BE120" i="1"/>
  <c r="AX128" i="1"/>
  <c r="AY128" i="1"/>
  <c r="AZ128" i="1"/>
  <c r="BB128" i="1"/>
  <c r="BC128" i="1"/>
  <c r="AX129" i="1"/>
  <c r="AY129" i="1"/>
  <c r="AZ129" i="1"/>
  <c r="BB129" i="1"/>
  <c r="BC129" i="1"/>
  <c r="AX130" i="1"/>
  <c r="AY130" i="1"/>
  <c r="AZ130" i="1"/>
  <c r="BB130" i="1"/>
  <c r="BC130" i="1"/>
  <c r="AX131" i="1"/>
  <c r="AY131" i="1"/>
  <c r="AZ131" i="1"/>
  <c r="BB131" i="1"/>
  <c r="BC131" i="1"/>
  <c r="AX132" i="1"/>
  <c r="AY132" i="1"/>
  <c r="AZ132" i="1"/>
  <c r="BB132" i="1"/>
  <c r="BC132" i="1"/>
  <c r="BC127" i="1"/>
  <c r="BB127" i="1"/>
  <c r="AZ127" i="1"/>
  <c r="AY127" i="1"/>
  <c r="AX127" i="1"/>
  <c r="AW132" i="1"/>
  <c r="AV132" i="1"/>
  <c r="AU132" i="1"/>
  <c r="AT132" i="1"/>
  <c r="AW131" i="1"/>
  <c r="AV131" i="1"/>
  <c r="AU131" i="1"/>
  <c r="AT131" i="1"/>
  <c r="AW130" i="1"/>
  <c r="AV130" i="1"/>
  <c r="AU130" i="1"/>
  <c r="AT130" i="1"/>
  <c r="AW129" i="1"/>
  <c r="AV129" i="1"/>
  <c r="AU129" i="1"/>
  <c r="AT129" i="1"/>
  <c r="AW128" i="1"/>
  <c r="AV128" i="1"/>
  <c r="AU128" i="1"/>
  <c r="AT128" i="1"/>
  <c r="AW127" i="1"/>
  <c r="AV127" i="1"/>
  <c r="AU127" i="1"/>
  <c r="AT127" i="1"/>
  <c r="AX124" i="1"/>
  <c r="AW124" i="1"/>
  <c r="AV124" i="1"/>
  <c r="AW123" i="1"/>
  <c r="AV123" i="1"/>
  <c r="AU123" i="1"/>
  <c r="AT123" i="1"/>
  <c r="AW122" i="1"/>
  <c r="AV122" i="1"/>
  <c r="AU122" i="1"/>
  <c r="AT122" i="1"/>
  <c r="AW121" i="1"/>
  <c r="AV121" i="1"/>
  <c r="AU121" i="1"/>
  <c r="AT121" i="1"/>
  <c r="AW120" i="1"/>
  <c r="AV120" i="1"/>
  <c r="AU120" i="1"/>
  <c r="AT120" i="1"/>
  <c r="AR130" i="1"/>
  <c r="AR128" i="1"/>
  <c r="AR127" i="1"/>
  <c r="AR125" i="1"/>
  <c r="AR124" i="1"/>
  <c r="AR123" i="1"/>
  <c r="AO123" i="1"/>
  <c r="AO124" i="1" s="1"/>
  <c r="AP123" i="1"/>
  <c r="AQ123" i="1"/>
  <c r="AP124" i="1"/>
  <c r="AQ124" i="1"/>
  <c r="AN124" i="1"/>
  <c r="AN123" i="1"/>
  <c r="AO121" i="1"/>
  <c r="AP121" i="1"/>
  <c r="AQ121" i="1"/>
  <c r="AN121" i="1"/>
  <c r="AO120" i="1"/>
  <c r="AP120" i="1"/>
  <c r="AQ120" i="1"/>
  <c r="AN120" i="1"/>
  <c r="AF131" i="1"/>
  <c r="AE131" i="1"/>
  <c r="AE130" i="1" s="1"/>
  <c r="AF130" i="1" s="1"/>
  <c r="AD131" i="1"/>
  <c r="AD130" i="1"/>
  <c r="AF129" i="1"/>
  <c r="AE129" i="1"/>
  <c r="AD129" i="1"/>
  <c r="AI129" i="1" s="1"/>
  <c r="AH125" i="1"/>
  <c r="AG125" i="1"/>
  <c r="AF125" i="1"/>
  <c r="AE125" i="1"/>
  <c r="AD125" i="1"/>
  <c r="AC125" i="1"/>
  <c r="AH124" i="1"/>
  <c r="AG124" i="1"/>
  <c r="AF124" i="1"/>
  <c r="AE124" i="1"/>
  <c r="AD124" i="1"/>
  <c r="AC124" i="1"/>
  <c r="AH123" i="1"/>
  <c r="AG123" i="1"/>
  <c r="AF123" i="1"/>
  <c r="AE123" i="1"/>
  <c r="AD123" i="1"/>
  <c r="AC123" i="1"/>
  <c r="AH122" i="1"/>
  <c r="AG122" i="1"/>
  <c r="AF122" i="1"/>
  <c r="AE122" i="1"/>
  <c r="AD122" i="1"/>
  <c r="AC122" i="1"/>
  <c r="W105" i="1"/>
  <c r="W104" i="1"/>
  <c r="V104" i="1"/>
  <c r="V103" i="1"/>
  <c r="V102" i="1"/>
  <c r="V100" i="1"/>
  <c r="V99" i="1"/>
  <c r="W96" i="1"/>
  <c r="V96" i="1"/>
  <c r="W94" i="1"/>
  <c r="V94" i="1"/>
  <c r="W93" i="1"/>
  <c r="V93" i="1"/>
  <c r="W92" i="1"/>
  <c r="V92" i="1"/>
  <c r="AM58" i="1"/>
  <c r="AN58" i="1"/>
  <c r="AO58" i="1"/>
  <c r="AP58" i="1"/>
  <c r="AQ58" i="1"/>
  <c r="AL58" i="1"/>
  <c r="AE59" i="1"/>
  <c r="AF59" i="1"/>
  <c r="AG59" i="1"/>
  <c r="AH59" i="1"/>
  <c r="AI59" i="1"/>
  <c r="AE60" i="1"/>
  <c r="AF60" i="1"/>
  <c r="AG60" i="1"/>
  <c r="AH60" i="1"/>
  <c r="AI60" i="1"/>
  <c r="AE61" i="1"/>
  <c r="AF61" i="1"/>
  <c r="AG61" i="1"/>
  <c r="AH61" i="1"/>
  <c r="AI61" i="1"/>
  <c r="AE62" i="1"/>
  <c r="AF62" i="1"/>
  <c r="AG62" i="1"/>
  <c r="AH62" i="1"/>
  <c r="AI62" i="1"/>
  <c r="AE63" i="1"/>
  <c r="AF63" i="1"/>
  <c r="AG63" i="1"/>
  <c r="AH63" i="1"/>
  <c r="AI63" i="1"/>
  <c r="AE64" i="1"/>
  <c r="AF64" i="1"/>
  <c r="AG64" i="1"/>
  <c r="AH64" i="1"/>
  <c r="AI64" i="1"/>
  <c r="AE65" i="1"/>
  <c r="AF65" i="1"/>
  <c r="AG65" i="1"/>
  <c r="AH65" i="1"/>
  <c r="AI65" i="1"/>
  <c r="AE66" i="1"/>
  <c r="AF66" i="1"/>
  <c r="AG66" i="1"/>
  <c r="AH66" i="1"/>
  <c r="AI66" i="1"/>
  <c r="AE68" i="1"/>
  <c r="AE67" i="1" s="1"/>
  <c r="AF68" i="1"/>
  <c r="AG68" i="1"/>
  <c r="AH68" i="1"/>
  <c r="AI68" i="1"/>
  <c r="AE69" i="1"/>
  <c r="AF69" i="1"/>
  <c r="AG69" i="1"/>
  <c r="AH69" i="1"/>
  <c r="AI69" i="1"/>
  <c r="AE70" i="1"/>
  <c r="AF70" i="1"/>
  <c r="AG70" i="1"/>
  <c r="AH70" i="1"/>
  <c r="AI70" i="1"/>
  <c r="AE71" i="1"/>
  <c r="AF71" i="1"/>
  <c r="AG71" i="1"/>
  <c r="AH71" i="1"/>
  <c r="AI71" i="1"/>
  <c r="AE72" i="1"/>
  <c r="AF72" i="1"/>
  <c r="AG72" i="1"/>
  <c r="AH72" i="1"/>
  <c r="AI72" i="1"/>
  <c r="AE73" i="1"/>
  <c r="AF73" i="1"/>
  <c r="AG73" i="1"/>
  <c r="AH73" i="1"/>
  <c r="AI73" i="1"/>
  <c r="AE74" i="1"/>
  <c r="AF74" i="1"/>
  <c r="AG74" i="1"/>
  <c r="AH74" i="1"/>
  <c r="AI74" i="1"/>
  <c r="AD74" i="1"/>
  <c r="AD73" i="1"/>
  <c r="AD72" i="1"/>
  <c r="AD71" i="1"/>
  <c r="AD70" i="1"/>
  <c r="AD69" i="1"/>
  <c r="AD68" i="1"/>
  <c r="AD66" i="1"/>
  <c r="AD65" i="1"/>
  <c r="AD64" i="1"/>
  <c r="AD63" i="1"/>
  <c r="AD62" i="1"/>
  <c r="AD61" i="1"/>
  <c r="AD60" i="1"/>
  <c r="AD59" i="1"/>
  <c r="AE58" i="1"/>
  <c r="AF58" i="1"/>
  <c r="AG58" i="1"/>
  <c r="AH58" i="1"/>
  <c r="AI58" i="1"/>
  <c r="AD58" i="1"/>
  <c r="AO28" i="1"/>
  <c r="AO27" i="1"/>
  <c r="AP25" i="1"/>
  <c r="AO25" i="1"/>
  <c r="AP24" i="1"/>
  <c r="AO24" i="1"/>
  <c r="AG28" i="1" a="1"/>
  <c r="AG28" i="1" s="1"/>
  <c r="AG27" i="1"/>
  <c r="AF27" i="1"/>
  <c r="AE27" i="1"/>
  <c r="AE28" i="1" s="1"/>
  <c r="AJ28" i="1" s="1"/>
  <c r="AG26" i="1"/>
  <c r="AF26" i="1"/>
  <c r="AE26" i="1"/>
  <c r="AD27" i="1"/>
  <c r="AD26" i="1"/>
  <c r="AE6" i="1"/>
  <c r="AF6" i="1"/>
  <c r="AD6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6" i="1"/>
  <c r="AA16" i="1"/>
  <c r="Z17" i="1"/>
  <c r="AA17" i="1"/>
  <c r="Z18" i="1"/>
  <c r="AA18" i="1"/>
  <c r="Z19" i="1"/>
  <c r="AA19" i="1"/>
  <c r="Z20" i="1"/>
  <c r="AA20" i="1"/>
  <c r="Z21" i="1"/>
  <c r="AA21" i="1"/>
  <c r="Z22" i="1"/>
  <c r="AA22" i="1"/>
  <c r="Y22" i="1"/>
  <c r="Y21" i="1"/>
  <c r="Y20" i="1"/>
  <c r="Y19" i="1"/>
  <c r="Y18" i="1"/>
  <c r="Y17" i="1"/>
  <c r="Y16" i="1"/>
  <c r="Y14" i="1"/>
  <c r="Y13" i="1"/>
  <c r="Y12" i="1"/>
  <c r="Y11" i="1"/>
  <c r="Y10" i="1"/>
  <c r="Y9" i="1"/>
  <c r="Y8" i="1"/>
  <c r="Y7" i="1"/>
  <c r="Z6" i="1"/>
  <c r="AA6" i="1"/>
  <c r="Y6" i="1"/>
  <c r="AS11" i="3"/>
  <c r="AS10" i="3"/>
  <c r="AT8" i="3"/>
  <c r="AS8" i="3"/>
  <c r="AT7" i="3"/>
  <c r="AS7" i="3"/>
  <c r="AK11" i="3" a="1"/>
  <c r="AK11" i="3" s="1"/>
  <c r="AL11" i="3" s="1"/>
  <c r="AI11" i="3"/>
  <c r="AN11" i="3" s="1"/>
  <c r="AK10" i="3"/>
  <c r="AJ10" i="3"/>
  <c r="AI10" i="3"/>
  <c r="AK9" i="3"/>
  <c r="AJ9" i="3"/>
  <c r="AI9" i="3"/>
  <c r="AH10" i="3"/>
  <c r="AH9" i="3"/>
  <c r="AE6" i="3"/>
  <c r="AF6" i="3"/>
  <c r="AD6" i="3"/>
  <c r="Z7" i="3"/>
  <c r="AA7" i="3"/>
  <c r="Z8" i="3"/>
  <c r="AA8" i="3"/>
  <c r="Z9" i="3"/>
  <c r="AA9" i="3"/>
  <c r="Z10" i="3"/>
  <c r="AA10" i="3"/>
  <c r="Z11" i="3"/>
  <c r="AA11" i="3"/>
  <c r="Z12" i="3"/>
  <c r="AA12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Y22" i="3"/>
  <c r="Y21" i="3"/>
  <c r="Y20" i="3"/>
  <c r="Y19" i="3"/>
  <c r="Y18" i="3"/>
  <c r="Y17" i="3"/>
  <c r="Y16" i="3"/>
  <c r="Y14" i="3"/>
  <c r="Y13" i="3"/>
  <c r="Y12" i="3"/>
  <c r="Y11" i="3"/>
  <c r="Y10" i="3"/>
  <c r="Y9" i="3"/>
  <c r="Y8" i="3"/>
  <c r="Y7" i="3"/>
  <c r="Z6" i="3"/>
  <c r="AA6" i="3"/>
  <c r="Y6" i="3"/>
  <c r="BJ128" i="1"/>
  <c r="BJ129" i="1"/>
  <c r="BJ132" i="1"/>
  <c r="BJ131" i="1"/>
  <c r="BJ130" i="1"/>
  <c r="BJ127" i="1"/>
  <c r="BI124" i="1"/>
  <c r="BF123" i="1"/>
  <c r="BF122" i="1"/>
  <c r="BF121" i="1"/>
  <c r="BF120" i="1"/>
  <c r="BA129" i="1"/>
  <c r="BA128" i="1"/>
  <c r="BA132" i="1"/>
  <c r="BA131" i="1"/>
  <c r="BA130" i="1"/>
  <c r="BA127" i="1"/>
  <c r="AY124" i="1"/>
  <c r="AR126" i="1"/>
  <c r="AQ122" i="1"/>
  <c r="AP122" i="1"/>
  <c r="AO122" i="1"/>
  <c r="AN122" i="1"/>
  <c r="V105" i="1"/>
  <c r="V101" i="1"/>
  <c r="W95" i="1"/>
  <c r="V95" i="1"/>
  <c r="AM66" i="1"/>
  <c r="AP67" i="1"/>
  <c r="AN66" i="1"/>
  <c r="AQ67" i="1"/>
  <c r="AO66" i="1"/>
  <c r="AP66" i="1"/>
  <c r="AQ66" i="1"/>
  <c r="AM67" i="1"/>
  <c r="AN67" i="1"/>
  <c r="AO67" i="1"/>
  <c r="AL67" i="1"/>
  <c r="AL66" i="1"/>
  <c r="AM59" i="1"/>
  <c r="AP60" i="1"/>
  <c r="AN59" i="1"/>
  <c r="AQ60" i="1"/>
  <c r="AO59" i="1"/>
  <c r="AP59" i="1"/>
  <c r="AQ59" i="1"/>
  <c r="AM60" i="1"/>
  <c r="AN60" i="1"/>
  <c r="AO60" i="1"/>
  <c r="AL60" i="1"/>
  <c r="AL59" i="1"/>
  <c r="AE75" i="1"/>
  <c r="AH76" i="1"/>
  <c r="AF75" i="1"/>
  <c r="AI76" i="1"/>
  <c r="AG75" i="1"/>
  <c r="AE76" i="1"/>
  <c r="AH75" i="1"/>
  <c r="AI75" i="1"/>
  <c r="AF76" i="1"/>
  <c r="AG76" i="1"/>
  <c r="AD76" i="1"/>
  <c r="AD75" i="1"/>
  <c r="AO31" i="1"/>
  <c r="AE14" i="1"/>
  <c r="AF14" i="1"/>
  <c r="AE15" i="1"/>
  <c r="AF15" i="1"/>
  <c r="AD15" i="1"/>
  <c r="AD14" i="1"/>
  <c r="AE7" i="1"/>
  <c r="AF7" i="1"/>
  <c r="AE8" i="1"/>
  <c r="AF8" i="1"/>
  <c r="AD8" i="1"/>
  <c r="AD7" i="1"/>
  <c r="Z23" i="1"/>
  <c r="AA23" i="1"/>
  <c r="Z24" i="1"/>
  <c r="AA24" i="1"/>
  <c r="Y24" i="1"/>
  <c r="Y23" i="1"/>
  <c r="AS14" i="3"/>
  <c r="AE14" i="3"/>
  <c r="AF14" i="3"/>
  <c r="AE15" i="3"/>
  <c r="AF15" i="3"/>
  <c r="AD15" i="3"/>
  <c r="AD14" i="3"/>
  <c r="AE7" i="3"/>
  <c r="AF7" i="3"/>
  <c r="AF8" i="3"/>
  <c r="AE8" i="3"/>
  <c r="AD8" i="3"/>
  <c r="AD7" i="3"/>
  <c r="Z23" i="3"/>
  <c r="AA23" i="3"/>
  <c r="Z24" i="3"/>
  <c r="AA24" i="3"/>
  <c r="Y24" i="3"/>
  <c r="Y23" i="3"/>
  <c r="AS22" i="3"/>
  <c r="AO39" i="1"/>
  <c r="AI123" i="1" l="1"/>
  <c r="AJ123" i="1" s="1"/>
  <c r="AI124" i="1"/>
  <c r="AK124" i="1" s="1"/>
  <c r="AI125" i="1"/>
  <c r="AK125" i="1" s="1"/>
  <c r="AJ129" i="1"/>
  <c r="AI122" i="1"/>
  <c r="AK122" i="1" s="1"/>
  <c r="AG129" i="1"/>
  <c r="AH129" i="1" s="1"/>
  <c r="AK129" i="1"/>
  <c r="AK123" i="1"/>
  <c r="AJ125" i="1"/>
  <c r="AJ124" i="1"/>
  <c r="AL62" i="1"/>
  <c r="AL69" i="1"/>
  <c r="AI67" i="1"/>
  <c r="AH67" i="1"/>
  <c r="AG67" i="1"/>
  <c r="AF67" i="1"/>
  <c r="AO69" i="1"/>
  <c r="AN69" i="1"/>
  <c r="AM69" i="1"/>
  <c r="AQ69" i="1"/>
  <c r="AP69" i="1"/>
  <c r="AO62" i="1"/>
  <c r="AN62" i="1"/>
  <c r="AM62" i="1"/>
  <c r="AQ62" i="1"/>
  <c r="AP62" i="1"/>
  <c r="AD67" i="1"/>
  <c r="Z15" i="1"/>
  <c r="AH28" i="1"/>
  <c r="AF28" i="1"/>
  <c r="AP39" i="1"/>
  <c r="AD10" i="1"/>
  <c r="AD17" i="1"/>
  <c r="AI28" i="1"/>
  <c r="AF33" i="1"/>
  <c r="AH33" i="1" s="1"/>
  <c r="AF32" i="1"/>
  <c r="AK28" i="1"/>
  <c r="AO34" i="1"/>
  <c r="AA15" i="1"/>
  <c r="AF17" i="1"/>
  <c r="AE17" i="1"/>
  <c r="AF10" i="1"/>
  <c r="AE10" i="1"/>
  <c r="Y15" i="1"/>
  <c r="AT22" i="3"/>
  <c r="AD10" i="3"/>
  <c r="AD17" i="3"/>
  <c r="AM11" i="3"/>
  <c r="AJ16" i="3"/>
  <c r="AL16" i="3" s="1"/>
  <c r="AJ15" i="3"/>
  <c r="AS17" i="3"/>
  <c r="AS12" i="3" s="1"/>
  <c r="AS13" i="3" s="1"/>
  <c r="AA15" i="3"/>
  <c r="AJ11" i="3"/>
  <c r="Z15" i="3"/>
  <c r="AO11" i="3"/>
  <c r="AF17" i="3"/>
  <c r="AE17" i="3"/>
  <c r="AE10" i="3"/>
  <c r="AF10" i="3"/>
  <c r="Y15" i="3"/>
  <c r="AO35" i="1"/>
  <c r="AS18" i="3"/>
  <c r="AJ122" i="1" l="1"/>
  <c r="AE33" i="1"/>
  <c r="AI33" i="1" s="1"/>
  <c r="AE32" i="1"/>
  <c r="AI32" i="1" s="1"/>
  <c r="AL28" i="1"/>
  <c r="AG33" i="1"/>
  <c r="AO36" i="1"/>
  <c r="AO29" i="1"/>
  <c r="AO30" i="1" s="1"/>
  <c r="AS19" i="3"/>
  <c r="AK16" i="3"/>
  <c r="AI15" i="3"/>
  <c r="AM15" i="3" s="1"/>
  <c r="AI16" i="3"/>
  <c r="AM16" i="3" s="1"/>
  <c r="AP11" i="3"/>
  <c r="AO38" i="1" l="1"/>
  <c r="AP38" i="1" s="1"/>
  <c r="AO37" i="1"/>
  <c r="AS21" i="3"/>
  <c r="AT21" i="3" s="1"/>
  <c r="AS20" i="3"/>
  <c r="O6" i="5" l="1"/>
  <c r="O7" i="5"/>
  <c r="O8" i="5"/>
  <c r="O5" i="5"/>
  <c r="L6" i="5"/>
  <c r="L7" i="5"/>
  <c r="L8" i="5"/>
  <c r="L5" i="5"/>
  <c r="J6" i="5"/>
  <c r="J7" i="5"/>
  <c r="J8" i="5"/>
  <c r="J5" i="5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7" i="1"/>
  <c r="G13" i="1"/>
  <c r="G6" i="1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5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<sst xmlns="http://schemas.openxmlformats.org/spreadsheetml/2006/main" count="1246" uniqueCount="244">
  <si>
    <t>SEXO</t>
  </si>
  <si>
    <t>(Todas)</t>
  </si>
  <si>
    <t xml:space="preserve">Prueba </t>
  </si>
  <si>
    <t>Objetivo</t>
  </si>
  <si>
    <t>Bland Altman</t>
  </si>
  <si>
    <t>Determinara la estanadrizacion del opeardor</t>
  </si>
  <si>
    <t>DISPOSITIVO</t>
  </si>
  <si>
    <t>VARAIBLE</t>
  </si>
  <si>
    <t>n</t>
  </si>
  <si>
    <t>Mean</t>
  </si>
  <si>
    <t>Standard Error</t>
  </si>
  <si>
    <t>Median</t>
  </si>
  <si>
    <t>Maximum</t>
  </si>
  <si>
    <t>Minimum</t>
  </si>
  <si>
    <t>IQR</t>
  </si>
  <si>
    <t>d'Agostino p-value</t>
  </si>
  <si>
    <t>Wilcoxon p-value</t>
  </si>
  <si>
    <t>VARIABLE</t>
  </si>
  <si>
    <t>p-value</t>
  </si>
  <si>
    <t>Test</t>
  </si>
  <si>
    <t>NEMENYI TEST</t>
  </si>
  <si>
    <t>Etiquetas de fila</t>
  </si>
  <si>
    <t>Promedio de EDAD EN MESES</t>
  </si>
  <si>
    <t>analisis exploratorio de datos</t>
  </si>
  <si>
    <t>describir la muestra</t>
  </si>
  <si>
    <t>Z proportions p-value</t>
  </si>
  <si>
    <t>Chi.sq proportions p-value</t>
  </si>
  <si>
    <t>EDAD PROMEDIO MESES</t>
  </si>
  <si>
    <t>group 1</t>
  </si>
  <si>
    <t>group 2</t>
  </si>
  <si>
    <t>mean</t>
  </si>
  <si>
    <t>LHUI</t>
  </si>
  <si>
    <t>Z de proporciones</t>
  </si>
  <si>
    <t>Comparar los Dx por sexo</t>
  </si>
  <si>
    <t>DIAGNOSTICO</t>
  </si>
  <si>
    <t>F</t>
  </si>
  <si>
    <t>%</t>
  </si>
  <si>
    <t>M</t>
  </si>
  <si>
    <t>Total</t>
  </si>
  <si>
    <t>BNP1</t>
  </si>
  <si>
    <t>EDAD (MESES)</t>
  </si>
  <si>
    <t>BNP1.EDAD (MESES)</t>
  </si>
  <si>
    <t>MW</t>
  </si>
  <si>
    <t>BNP1.FISURA  (mm) T2</t>
  </si>
  <si>
    <t>LPHUD</t>
  </si>
  <si>
    <t>Chi-sq propociones</t>
  </si>
  <si>
    <t>comprarar al proporcion de paceimtyes por Dx</t>
  </si>
  <si>
    <t>N/A</t>
  </si>
  <si>
    <t>FISURA  (mm) T2</t>
  </si>
  <si>
    <t>hay un cambio significativo en al fisura, por BNP1, el cierre es de parox 8mm</t>
  </si>
  <si>
    <t>BNP3.EDAD (MESES)</t>
  </si>
  <si>
    <t>BNP3.FISURA  (mm) T1</t>
  </si>
  <si>
    <t xml:space="preserve">LPHUI </t>
  </si>
  <si>
    <t>d´Agostino</t>
  </si>
  <si>
    <t>Determinar si las vables continuas presentan distribucion normal</t>
  </si>
  <si>
    <t>KW</t>
  </si>
  <si>
    <t>BNP3.FISURA  (mm) T2</t>
  </si>
  <si>
    <t>Total general</t>
  </si>
  <si>
    <t>Wilcoxon</t>
  </si>
  <si>
    <t>Comparar medidas intra dispositivos</t>
  </si>
  <si>
    <t>BNP3</t>
  </si>
  <si>
    <t>Mann Wiy'tney</t>
  </si>
  <si>
    <t>compracion inter edad según uso de dispositivo</t>
  </si>
  <si>
    <t>FISURA  (mm) T1</t>
  </si>
  <si>
    <t>hay un cambio significativo en al fisura, por BNP3, el cierre es de parox 6mm</t>
  </si>
  <si>
    <t>Kruskal walli</t>
  </si>
  <si>
    <t>Comparacione inter grupso BPN1, 3 en diferntes periodos</t>
  </si>
  <si>
    <t>Hay una diff significatica en la proporcoioon de Dx LHUI vs los demas</t>
  </si>
  <si>
    <t>Nemeny</t>
  </si>
  <si>
    <t>Ubicara las diferencais de KW</t>
  </si>
  <si>
    <t>Hay diferncai signidicativa entre la edad de quienes usasnBOPN1 vs BPN3</t>
  </si>
  <si>
    <t>Unicamente no hubo diferencia entre cierre BPN1 T1 Y BPN3 T1, y enttre BPN2 Y BPN3</t>
  </si>
  <si>
    <t>Sotware Rela Statistics V8.9 de Feb 2024</t>
  </si>
  <si>
    <t>Hay  diferencai significativa entere las cierres de fisura</t>
  </si>
  <si>
    <r>
      <t>OBJETIVO GENERAL:</t>
    </r>
    <r>
      <rPr>
        <sz val="12"/>
        <color rgb="FF000000"/>
        <rFont val="Arial"/>
        <family val="2"/>
      </rPr>
      <t> </t>
    </r>
  </si>
  <si>
    <t>IDENTIFICAR LOS CAMBIOS ESTRUCTURALES EN SENTIDO TRANSVERSAL DE LA FISURA LABIAL Y PALATINA COMPLETA UNILATERAL, MEDIANTE EL TRATAMIENTO PRE Y POSQUIRURGICO DE ORTOPEDIA FUNCIONAL CON EL SISTEMA BNP1 Y BNP3</t>
  </si>
  <si>
    <r>
      <t> </t>
    </r>
    <r>
      <rPr>
        <b/>
        <u/>
        <sz val="12"/>
        <color rgb="FF000000"/>
        <rFont val="Arial"/>
        <family val="2"/>
      </rPr>
      <t>Objetivos específicos.</t>
    </r>
    <r>
      <rPr>
        <b/>
        <sz val="12"/>
        <color rgb="FF000000"/>
        <rFont val="Arial"/>
        <family val="2"/>
      </rPr>
      <t>  </t>
    </r>
  </si>
  <si>
    <t>·         Comparar los cambios dimensionales de los procesos nasopalatinos pre y postratamiento, durante el uso del sistema bnp1</t>
  </si>
  <si>
    <t>·  Comparar los cambios dimensionales de los procesos nasopalatinos pre y postratamiento, durante el uso del sistema bnp3</t>
  </si>
  <si>
    <t>Evaluar la presencia de fistula posterior a la finalizacion del tratamiento</t>
  </si>
  <si>
    <t>Identificar la presencia de mordida cruzada posterior al finalizar el tratamiento</t>
  </si>
  <si>
    <t>Identificar la prevalencia de LPHUI Y LPHUD, en este estudio</t>
  </si>
  <si>
    <t>OBJETIVO ESPECIFICO 1:  Comparar los cambios dimensionales de los procesos nasopalatinos pre y postratamiento, durante el uso del sistema bnp1</t>
  </si>
  <si>
    <t>PACIENTE N°</t>
  </si>
  <si>
    <t>NOMBRE</t>
  </si>
  <si>
    <t>FECHA DE NACIMIENTO</t>
  </si>
  <si>
    <t>EDAD  (DIAS)</t>
  </si>
  <si>
    <t>APARATOLOGIA PREQUIRURGICA</t>
  </si>
  <si>
    <t>T1 (FECHA)</t>
  </si>
  <si>
    <t>T2 (FECHA)</t>
  </si>
  <si>
    <t>Descriptive Statistics</t>
  </si>
  <si>
    <t>Shapiro-Wilk Test</t>
  </si>
  <si>
    <t>NIKOLAS OSORIO</t>
  </si>
  <si>
    <t>T Test: Two Paired Samples</t>
  </si>
  <si>
    <t>Wilcoxon Signed-Rank Test for Paired Samples</t>
  </si>
  <si>
    <t>KEVIN TAPASCO</t>
  </si>
  <si>
    <t>ANDRES FELIPE BLANDON ARIAS.</t>
  </si>
  <si>
    <t>W-stat</t>
  </si>
  <si>
    <t>SUMMARY</t>
  </si>
  <si>
    <t>Alpha</t>
  </si>
  <si>
    <t>Hyp Mean Diff</t>
  </si>
  <si>
    <t>JHOANN  GONZALEZ OCAMPO</t>
  </si>
  <si>
    <t>Groups</t>
  </si>
  <si>
    <t>Count</t>
  </si>
  <si>
    <t>Std Dev</t>
  </si>
  <si>
    <t>Std Err</t>
  </si>
  <si>
    <t>t</t>
  </si>
  <si>
    <t>df</t>
  </si>
  <si>
    <t>Cohen d</t>
  </si>
  <si>
    <t>Effect r</t>
  </si>
  <si>
    <t>median</t>
  </si>
  <si>
    <t>LIAM PALACIO PALACIO</t>
  </si>
  <si>
    <t>alpha</t>
  </si>
  <si>
    <t>ANA GABRIEL</t>
  </si>
  <si>
    <t>Mode</t>
  </si>
  <si>
    <t>normal</t>
  </si>
  <si>
    <t>count</t>
  </si>
  <si>
    <t>ARIANA</t>
  </si>
  <si>
    <t>Standard Deviation</t>
  </si>
  <si>
    <t>Difference</t>
  </si>
  <si>
    <t># unequal</t>
  </si>
  <si>
    <t>EITHAN</t>
  </si>
  <si>
    <t>Sample Variance</t>
  </si>
  <si>
    <t>d'Agostino-Pearson</t>
  </si>
  <si>
    <t>T+</t>
  </si>
  <si>
    <t>LAURENT</t>
  </si>
  <si>
    <t>Kurtosis</t>
  </si>
  <si>
    <t>T TEST</t>
  </si>
  <si>
    <t>T-</t>
  </si>
  <si>
    <t>EMILY</t>
  </si>
  <si>
    <t>LPHUI</t>
  </si>
  <si>
    <t>Skewness</t>
  </si>
  <si>
    <t>DA-stat</t>
  </si>
  <si>
    <t xml:space="preserve"> </t>
  </si>
  <si>
    <t>t-crit</t>
  </si>
  <si>
    <t>lower</t>
  </si>
  <si>
    <t>upper</t>
  </si>
  <si>
    <t>sig</t>
  </si>
  <si>
    <t>T</t>
  </si>
  <si>
    <t>DILAN ANDRES</t>
  </si>
  <si>
    <t>Range</t>
  </si>
  <si>
    <t>One Tail</t>
  </si>
  <si>
    <t>VALERIA HERRERA</t>
  </si>
  <si>
    <t>Two Tail</t>
  </si>
  <si>
    <t>one tail</t>
  </si>
  <si>
    <t>two tail</t>
  </si>
  <si>
    <t>WILSON ANTONIO RUBAY</t>
  </si>
  <si>
    <t>LUISA DAHIANA SABOGAL</t>
  </si>
  <si>
    <t>Sum</t>
  </si>
  <si>
    <t>std dev</t>
  </si>
  <si>
    <t>ties</t>
  </si>
  <si>
    <t>MARTINA PEÑA</t>
  </si>
  <si>
    <t>z-score</t>
  </si>
  <si>
    <t>yates</t>
  </si>
  <si>
    <t>DYLAN TORRES VELASQUEZ</t>
  </si>
  <si>
    <t>Geometric Mean</t>
  </si>
  <si>
    <t>effect r</t>
  </si>
  <si>
    <t>ANDREW PINEDA MORALES</t>
  </si>
  <si>
    <t>Harmonic Mean</t>
  </si>
  <si>
    <t>p-norm</t>
  </si>
  <si>
    <t xml:space="preserve">JORDAN MATEO </t>
  </si>
  <si>
    <t>AAD</t>
  </si>
  <si>
    <t>p-exact</t>
  </si>
  <si>
    <t>MAD</t>
  </si>
  <si>
    <t>p-simul</t>
  </si>
  <si>
    <t>T1= PRIMER REGISTRO (INICIO DE TRATAMIENTO)</t>
  </si>
  <si>
    <t>T2= SEGUNDO REGISTRO (FIN DE TRATAMIENTO)</t>
  </si>
  <si>
    <t>OBJETIVO ESPECIFICO 2:  Comparar los cambios dimensionales de los procesos nasopalatinos pre y postratamiento, durante el uso del sistema bnp3</t>
  </si>
  <si>
    <t>APARATOLOGIA POSTQUIRURGICA</t>
  </si>
  <si>
    <t>FECHA QUEILORRAFIA</t>
  </si>
  <si>
    <t>FECHA PALATORRAFIA</t>
  </si>
  <si>
    <t>PRESENCIA DE FISTULA</t>
  </si>
  <si>
    <t>MORDIDA CRUZADA POSTERIOR</t>
  </si>
  <si>
    <t>JHOAN DAVID VALENCIA</t>
  </si>
  <si>
    <t>NO</t>
  </si>
  <si>
    <t>CARLOS MARIO GARCIA  GARCIA</t>
  </si>
  <si>
    <t>CRITHIAN C. BEDOYA ALVARADO</t>
  </si>
  <si>
    <t>ANA SOFIA MARIN HERRERA</t>
  </si>
  <si>
    <t>LUCIANA GRAJALES</t>
  </si>
  <si>
    <t>ISACC LOPEZ</t>
  </si>
  <si>
    <t>SAMUEL ESCOBAR PELAEZ.</t>
  </si>
  <si>
    <t>LUIS  ALEJANDRO ORTEGA</t>
  </si>
  <si>
    <t>DILLAN RAMIREZ</t>
  </si>
  <si>
    <t>ANA SOFIA SALAZAR</t>
  </si>
  <si>
    <t>VIOLETA RODRIGUEZ  MEDINA</t>
  </si>
  <si>
    <t>JEAN PAUL RAVE MEJIA</t>
  </si>
  <si>
    <t>PABLO CARDONA BASTIDAS</t>
  </si>
  <si>
    <t>MARIA JOSE ACEVEDO</t>
  </si>
  <si>
    <t>BRANDON LLANO MOLINA</t>
  </si>
  <si>
    <t>MATIAS ARANZAZU ROLDAN</t>
  </si>
  <si>
    <t>JOSE LUIS ARIAS CEBALLOS.</t>
  </si>
  <si>
    <t>SARA ISABELLA MAGON ORTEGA</t>
  </si>
  <si>
    <t>NORBEY MURILLO SINTUA</t>
  </si>
  <si>
    <t>BRYANA DUQUE  GRANADA</t>
  </si>
  <si>
    <t>1/08/2023</t>
  </si>
  <si>
    <t>20/11/2023</t>
  </si>
  <si>
    <t>7/02/2024</t>
  </si>
  <si>
    <t>Mann-Whitney Test for Two Independent Samples</t>
  </si>
  <si>
    <t>rank sum</t>
  </si>
  <si>
    <t>U</t>
  </si>
  <si>
    <t>ANOVA: Single Factor</t>
  </si>
  <si>
    <t>Kruskal-Wallis Test</t>
  </si>
  <si>
    <t>TUKEY HSD/KRAMER</t>
  </si>
  <si>
    <t>group</t>
  </si>
  <si>
    <t>ss</t>
  </si>
  <si>
    <t>q-crit</t>
  </si>
  <si>
    <t>R sum</t>
  </si>
  <si>
    <t>size</t>
  </si>
  <si>
    <t>R mean</t>
  </si>
  <si>
    <t>DESCRIPTION</t>
  </si>
  <si>
    <t>Group</t>
  </si>
  <si>
    <t>Variance</t>
  </si>
  <si>
    <t>SS</t>
  </si>
  <si>
    <t>Lower</t>
  </si>
  <si>
    <t>Upper</t>
  </si>
  <si>
    <t>r^2/n</t>
  </si>
  <si>
    <t>H-stat</t>
  </si>
  <si>
    <t>Q TEST</t>
  </si>
  <si>
    <t>H-ties</t>
  </si>
  <si>
    <t>std err</t>
  </si>
  <si>
    <t>q-stat</t>
  </si>
  <si>
    <t>mean-crit</t>
  </si>
  <si>
    <t>R-crit</t>
  </si>
  <si>
    <t>ANOVA</t>
  </si>
  <si>
    <t>Sources</t>
  </si>
  <si>
    <t>MS</t>
  </si>
  <si>
    <t>P value</t>
  </si>
  <si>
    <t>Eta-sq</t>
  </si>
  <si>
    <t>RMSSE</t>
  </si>
  <si>
    <t>Omega Sq</t>
  </si>
  <si>
    <t>Between Groups</t>
  </si>
  <si>
    <t>Within Groups</t>
  </si>
  <si>
    <t>EDAD EN MESES</t>
  </si>
  <si>
    <t>LHPUI</t>
  </si>
  <si>
    <t>BNP3​</t>
  </si>
  <si>
    <t>TOTAL 38​</t>
  </si>
  <si>
    <t>4​</t>
  </si>
  <si>
    <t>18​</t>
  </si>
  <si>
    <t>BNP1​</t>
  </si>
  <si>
    <t>N° DE PACIENTES​</t>
  </si>
  <si>
    <t>APARATOLOGIA​</t>
  </si>
  <si>
    <t>TOTAL 38</t>
  </si>
  <si>
    <t>N° DE PACIENTES</t>
  </si>
  <si>
    <t>APARATOLOGIA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</si>
</sst>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dd/mm/yy"/>
    <numFmt numFmtId="165" formatCode="0.0"/>
    <numFmt numFmtId="166" formatCode="0.0000"/>
    <numFmt numFmtId="167" formatCode="0.000"/>
    <numFmt numFmtId="168" formatCode="_-* #,##0.000_-;\-* #,##0.000_-;_-* &quot;-&quot;??_-;_-@_-"/>
  </numFmts>
  <fonts count="2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</font>
    <font>
      <b/>
      <sz val="12"/>
      <color rgb="FF000000"/>
      <name val="Symbol"/>
      <family val="1"/>
      <charset val="2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808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BF1E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3D69B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C9C9C9"/>
      </left>
      <right style="medium">
        <color rgb="FFC9C9C9"/>
      </right>
      <top/>
      <bottom style="medium">
        <color rgb="FFC9C9C9"/>
      </bottom>
      <diagonal/>
    </border>
    <border>
      <left/>
      <right style="medium">
        <color rgb="FFC9C9C9"/>
      </right>
      <top/>
      <bottom style="medium">
        <color rgb="FFC9C9C9"/>
      </bottom>
      <diagonal/>
    </border>
    <border>
      <left style="medium">
        <color rgb="FFC9C9C9"/>
      </left>
      <right style="medium">
        <color rgb="FFC9C9C9"/>
      </right>
      <top style="medium">
        <color rgb="FFA5A5A5"/>
      </top>
      <bottom/>
      <diagonal/>
    </border>
    <border>
      <left/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/>
      <right/>
      <top style="medium">
        <color rgb="FFA5A5A5"/>
      </top>
      <bottom style="medium">
        <color rgb="FFA5A5A5"/>
      </bottom>
      <diagonal/>
    </border>
    <border>
      <left style="medium">
        <color rgb="FFA5A5A5"/>
      </left>
      <right/>
      <top style="medium">
        <color rgb="FFA5A5A5"/>
      </top>
      <bottom style="medium">
        <color rgb="FFA5A5A5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7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" fillId="0" borderId="0" xfId="0" applyFont="1"/>
    <xf numFmtId="0" fontId="8" fillId="0" borderId="0" xfId="0" applyFont="1" applyAlignment="1">
      <alignment horizontal="justify" vertical="center"/>
    </xf>
    <xf numFmtId="0" fontId="9" fillId="0" borderId="0" xfId="0" applyFont="1"/>
    <xf numFmtId="0" fontId="10" fillId="6" borderId="0" xfId="0" applyFont="1" applyFill="1" applyAlignment="1">
      <alignment horizontal="justify" vertical="center"/>
    </xf>
    <xf numFmtId="0" fontId="4" fillId="0" borderId="0" xfId="0" applyFont="1"/>
    <xf numFmtId="0" fontId="3" fillId="0" borderId="0" xfId="0" applyFont="1"/>
    <xf numFmtId="0" fontId="5" fillId="7" borderId="0" xfId="0" applyFont="1" applyFill="1" applyAlignment="1">
      <alignment horizontal="justify" vertical="center"/>
    </xf>
    <xf numFmtId="0" fontId="0" fillId="8" borderId="1" xfId="0" applyFill="1" applyBorder="1"/>
    <xf numFmtId="14" fontId="11" fillId="4" borderId="1" xfId="0" applyNumberFormat="1" applyFont="1" applyFill="1" applyBorder="1" applyAlignment="1">
      <alignment horizontal="center"/>
    </xf>
    <xf numFmtId="1" fontId="11" fillId="4" borderId="1" xfId="0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164" fontId="11" fillId="9" borderId="1" xfId="1" applyNumberFormat="1" applyFont="1" applyFill="1" applyBorder="1" applyAlignment="1">
      <alignment horizontal="center"/>
    </xf>
    <xf numFmtId="165" fontId="11" fillId="4" borderId="1" xfId="0" applyNumberFormat="1" applyFont="1" applyFill="1" applyBorder="1" applyAlignment="1">
      <alignment horizontal="center"/>
    </xf>
    <xf numFmtId="164" fontId="11" fillId="9" borderId="1" xfId="1" applyNumberFormat="1" applyFont="1" applyFill="1" applyBorder="1" applyAlignment="1">
      <alignment horizontal="center" wrapText="1"/>
    </xf>
    <xf numFmtId="0" fontId="11" fillId="9" borderId="1" xfId="1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 wrapText="1"/>
    </xf>
    <xf numFmtId="0" fontId="11" fillId="9" borderId="1" xfId="0" applyFont="1" applyFill="1" applyBorder="1" applyAlignment="1">
      <alignment horizontal="center"/>
    </xf>
    <xf numFmtId="164" fontId="11" fillId="9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14" fontId="11" fillId="8" borderId="1" xfId="0" applyNumberFormat="1" applyFont="1" applyFill="1" applyBorder="1" applyAlignment="1">
      <alignment horizontal="center"/>
    </xf>
    <xf numFmtId="1" fontId="11" fillId="8" borderId="1" xfId="0" applyNumberFormat="1" applyFont="1" applyFill="1" applyBorder="1" applyAlignment="1">
      <alignment horizontal="center"/>
    </xf>
    <xf numFmtId="14" fontId="11" fillId="8" borderId="3" xfId="0" applyNumberFormat="1" applyFont="1" applyFill="1" applyBorder="1" applyAlignment="1">
      <alignment horizontal="center"/>
    </xf>
    <xf numFmtId="1" fontId="11" fillId="8" borderId="3" xfId="0" applyNumberFormat="1" applyFont="1" applyFill="1" applyBorder="1" applyAlignment="1">
      <alignment horizontal="center"/>
    </xf>
    <xf numFmtId="1" fontId="11" fillId="8" borderId="2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11" fillId="5" borderId="1" xfId="0" applyNumberFormat="1" applyFont="1" applyFill="1" applyBorder="1" applyAlignment="1">
      <alignment horizontal="center"/>
    </xf>
    <xf numFmtId="1" fontId="11" fillId="5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11" fillId="0" borderId="1" xfId="1" applyNumberFormat="1" applyFont="1" applyFill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65" fontId="11" fillId="0" borderId="1" xfId="0" applyNumberFormat="1" applyFont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1" fillId="10" borderId="0" xfId="0" applyFont="1" applyFill="1"/>
    <xf numFmtId="0" fontId="0" fillId="10" borderId="0" xfId="0" applyFill="1"/>
    <xf numFmtId="14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" fontId="11" fillId="9" borderId="1" xfId="1" applyNumberFormat="1" applyFont="1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1" fillId="11" borderId="5" xfId="0" applyFont="1" applyFill="1" applyBorder="1" applyAlignment="1">
      <alignment horizontal="left"/>
    </xf>
    <xf numFmtId="0" fontId="1" fillId="11" borderId="5" xfId="0" applyFont="1" applyFill="1" applyBorder="1"/>
    <xf numFmtId="9" fontId="0" fillId="0" borderId="0" xfId="3" applyFont="1"/>
    <xf numFmtId="9" fontId="0" fillId="8" borderId="0" xfId="3" applyFont="1" applyFill="1"/>
    <xf numFmtId="2" fontId="0" fillId="0" borderId="0" xfId="0" applyNumberFormat="1"/>
    <xf numFmtId="2" fontId="1" fillId="11" borderId="5" xfId="0" applyNumberFormat="1" applyFont="1" applyFill="1" applyBorder="1"/>
    <xf numFmtId="165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0" fillId="0" borderId="0" xfId="2" applyFont="1"/>
    <xf numFmtId="0" fontId="16" fillId="8" borderId="0" xfId="0" applyFont="1" applyFill="1"/>
    <xf numFmtId="9" fontId="16" fillId="8" borderId="0" xfId="3" applyFont="1" applyFill="1"/>
    <xf numFmtId="0" fontId="17" fillId="11" borderId="4" xfId="0" applyFont="1" applyFill="1" applyBorder="1"/>
    <xf numFmtId="9" fontId="17" fillId="11" borderId="4" xfId="3" applyFont="1" applyFill="1" applyBorder="1"/>
    <xf numFmtId="0" fontId="17" fillId="11" borderId="0" xfId="0" applyFont="1" applyFill="1"/>
    <xf numFmtId="168" fontId="0" fillId="0" borderId="0" xfId="2" applyNumberFormat="1" applyFont="1"/>
    <xf numFmtId="43" fontId="0" fillId="0" borderId="0" xfId="2" applyFont="1" applyAlignment="1">
      <alignment horizontal="right"/>
    </xf>
    <xf numFmtId="0" fontId="0" fillId="0" borderId="9" xfId="0" applyBorder="1"/>
    <xf numFmtId="0" fontId="19" fillId="0" borderId="9" xfId="0" applyFont="1" applyBorder="1" applyAlignment="1">
      <alignment horizontal="center"/>
    </xf>
    <xf numFmtId="1" fontId="19" fillId="0" borderId="9" xfId="0" applyNumberFormat="1" applyFont="1" applyBorder="1" applyAlignment="1">
      <alignment horizontal="center"/>
    </xf>
    <xf numFmtId="1" fontId="0" fillId="0" borderId="0" xfId="0" applyNumberFormat="1"/>
    <xf numFmtId="0" fontId="0" fillId="0" borderId="9" xfId="0" applyBorder="1" applyAlignment="1">
      <alignment horizontal="right"/>
    </xf>
    <xf numFmtId="0" fontId="0" fillId="0" borderId="10" xfId="0" applyBorder="1"/>
    <xf numFmtId="0" fontId="19" fillId="0" borderId="11" xfId="0" applyFont="1" applyBorder="1" applyAlignment="1">
      <alignment horizontal="center"/>
    </xf>
    <xf numFmtId="1" fontId="0" fillId="0" borderId="10" xfId="0" applyNumberFormat="1" applyBorder="1"/>
    <xf numFmtId="1" fontId="0" fillId="0" borderId="12" xfId="0" applyNumberFormat="1" applyBorder="1"/>
    <xf numFmtId="1" fontId="0" fillId="0" borderId="13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2" fontId="0" fillId="0" borderId="1" xfId="0" applyNumberFormat="1" applyBorder="1"/>
    <xf numFmtId="168" fontId="0" fillId="0" borderId="1" xfId="2" applyNumberFormat="1" applyFont="1" applyBorder="1"/>
    <xf numFmtId="168" fontId="14" fillId="0" borderId="1" xfId="2" applyNumberFormat="1" applyFont="1" applyBorder="1"/>
    <xf numFmtId="0" fontId="0" fillId="0" borderId="12" xfId="0" applyBorder="1"/>
    <xf numFmtId="0" fontId="0" fillId="0" borderId="13" xfId="0" applyBorder="1"/>
    <xf numFmtId="168" fontId="11" fillId="0" borderId="1" xfId="2" applyNumberFormat="1" applyFont="1" applyBorder="1"/>
    <xf numFmtId="0" fontId="0" fillId="10" borderId="0" xfId="0" applyFill="1" applyAlignment="1">
      <alignment horizontal="left"/>
    </xf>
    <xf numFmtId="9" fontId="0" fillId="10" borderId="0" xfId="3" applyFont="1" applyFill="1"/>
    <xf numFmtId="0" fontId="0" fillId="0" borderId="20" xfId="0" applyBorder="1"/>
    <xf numFmtId="165" fontId="0" fillId="0" borderId="21" xfId="0" applyNumberFormat="1" applyBorder="1"/>
    <xf numFmtId="0" fontId="0" fillId="0" borderId="21" xfId="0" applyBorder="1"/>
    <xf numFmtId="0" fontId="0" fillId="0" borderId="22" xfId="0" applyBorder="1"/>
    <xf numFmtId="1" fontId="0" fillId="0" borderId="20" xfId="0" applyNumberFormat="1" applyBorder="1"/>
    <xf numFmtId="1" fontId="0" fillId="0" borderId="23" xfId="0" applyNumberFormat="1" applyBorder="1"/>
    <xf numFmtId="1" fontId="0" fillId="0" borderId="14" xfId="0" applyNumberFormat="1" applyBorder="1"/>
    <xf numFmtId="0" fontId="0" fillId="0" borderId="24" xfId="0" applyBorder="1"/>
    <xf numFmtId="0" fontId="0" fillId="0" borderId="8" xfId="0" applyBorder="1" applyAlignment="1">
      <alignment horizontal="right"/>
    </xf>
    <xf numFmtId="0" fontId="0" fillId="0" borderId="25" xfId="0" applyBorder="1"/>
    <xf numFmtId="0" fontId="0" fillId="0" borderId="26" xfId="0" applyBorder="1"/>
    <xf numFmtId="0" fontId="0" fillId="0" borderId="17" xfId="0" applyBorder="1"/>
    <xf numFmtId="168" fontId="14" fillId="0" borderId="2" xfId="2" applyNumberFormat="1" applyFont="1" applyBorder="1"/>
    <xf numFmtId="168" fontId="0" fillId="0" borderId="27" xfId="2" applyNumberFormat="1" applyFont="1" applyBorder="1"/>
    <xf numFmtId="168" fontId="0" fillId="0" borderId="3" xfId="2" applyNumberFormat="1" applyFont="1" applyBorder="1"/>
    <xf numFmtId="165" fontId="0" fillId="0" borderId="1" xfId="0" applyNumberFormat="1" applyBorder="1"/>
    <xf numFmtId="167" fontId="14" fillId="0" borderId="1" xfId="0" applyNumberFormat="1" applyFont="1" applyBorder="1"/>
    <xf numFmtId="167" fontId="0" fillId="0" borderId="1" xfId="0" applyNumberFormat="1" applyBorder="1"/>
    <xf numFmtId="0" fontId="0" fillId="10" borderId="3" xfId="0" applyFill="1" applyBorder="1"/>
    <xf numFmtId="0" fontId="1" fillId="12" borderId="1" xfId="0" applyFont="1" applyFill="1" applyBorder="1" applyAlignment="1">
      <alignment horizontal="center"/>
    </xf>
    <xf numFmtId="0" fontId="16" fillId="8" borderId="1" xfId="0" applyFont="1" applyFill="1" applyBorder="1" applyAlignment="1">
      <alignment horizont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15" fillId="11" borderId="0" xfId="0" applyFont="1" applyFill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 wrapText="1"/>
    </xf>
    <xf numFmtId="168" fontId="14" fillId="0" borderId="0" xfId="2" applyNumberFormat="1" applyFont="1" applyAlignment="1">
      <alignment horizontal="center" vertical="top" wrapText="1"/>
    </xf>
    <xf numFmtId="0" fontId="16" fillId="8" borderId="1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166" fontId="14" fillId="0" borderId="1" xfId="0" applyNumberFormat="1" applyFont="1" applyBorder="1" applyAlignment="1">
      <alignment horizontal="center" vertical="top"/>
    </xf>
    <xf numFmtId="0" fontId="0" fillId="10" borderId="19" xfId="0" applyFill="1" applyBorder="1" applyAlignment="1">
      <alignment horizontal="left" wrapText="1"/>
    </xf>
    <xf numFmtId="0" fontId="0" fillId="10" borderId="0" xfId="0" applyFill="1" applyAlignment="1">
      <alignment horizontal="left" wrapText="1"/>
    </xf>
    <xf numFmtId="0" fontId="0" fillId="8" borderId="1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7" fillId="13" borderId="28" xfId="0" applyFont="1" applyFill="1" applyBorder="1" applyAlignment="1">
      <alignment horizontal="justify" vertical="center" wrapText="1"/>
    </xf>
    <xf numFmtId="14" fontId="7" fillId="13" borderId="28" xfId="0" applyNumberFormat="1" applyFont="1" applyFill="1" applyBorder="1" applyAlignment="1">
      <alignment horizontal="justify" vertical="center" wrapText="1"/>
    </xf>
    <xf numFmtId="0" fontId="5" fillId="14" borderId="29" xfId="0" applyFont="1" applyFill="1" applyBorder="1" applyAlignment="1">
      <alignment horizontal="justify" vertical="center" wrapText="1"/>
    </xf>
    <xf numFmtId="0" fontId="5" fillId="14" borderId="30" xfId="0" applyFont="1" applyFill="1" applyBorder="1" applyAlignment="1">
      <alignment horizontal="justify" vertical="center" wrapText="1"/>
    </xf>
    <xf numFmtId="0" fontId="5" fillId="14" borderId="31" xfId="0" applyFont="1" applyFill="1" applyBorder="1" applyAlignment="1">
      <alignment horizontal="justify" vertical="center" wrapText="1"/>
    </xf>
    <xf numFmtId="0" fontId="5" fillId="14" borderId="32" xfId="0" applyFont="1" applyFill="1" applyBorder="1" applyAlignment="1">
      <alignment horizontal="justify" vertical="center" wrapText="1"/>
    </xf>
    <xf numFmtId="0" fontId="7" fillId="13" borderId="33" xfId="0" applyFont="1" applyFill="1" applyBorder="1" applyAlignment="1">
      <alignment horizontal="justify" vertical="center" wrapText="1"/>
    </xf>
    <xf numFmtId="0" fontId="7" fillId="0" borderId="34" xfId="0" applyFont="1" applyBorder="1" applyAlignment="1">
      <alignment horizontal="justify" vertical="center" wrapText="1"/>
    </xf>
    <xf numFmtId="0" fontId="5" fillId="0" borderId="33" xfId="0" applyFont="1" applyBorder="1" applyAlignment="1">
      <alignment horizontal="justify" vertical="center" wrapText="1"/>
    </xf>
    <xf numFmtId="0" fontId="7" fillId="13" borderId="35" xfId="0" applyFont="1" applyFill="1" applyBorder="1" applyAlignment="1">
      <alignment horizontal="justify" vertical="center" wrapText="1"/>
    </xf>
    <xf numFmtId="0" fontId="7" fillId="13" borderId="34" xfId="0" applyFont="1" applyFill="1" applyBorder="1" applyAlignment="1">
      <alignment horizontal="justify" vertical="center" wrapText="1"/>
    </xf>
    <xf numFmtId="0" fontId="5" fillId="13" borderId="33" xfId="0" applyFont="1" applyFill="1" applyBorder="1" applyAlignment="1">
      <alignment horizontal="justify" vertical="center" wrapText="1"/>
    </xf>
    <xf numFmtId="0" fontId="5" fillId="14" borderId="36" xfId="0" applyFont="1" applyFill="1" applyBorder="1" applyAlignment="1">
      <alignment horizontal="justify" vertical="center" wrapText="1"/>
    </xf>
    <xf numFmtId="0" fontId="5" fillId="14" borderId="37" xfId="0" applyFont="1" applyFill="1" applyBorder="1" applyAlignment="1">
      <alignment horizontal="justify" vertical="center" wrapText="1"/>
    </xf>
    <xf numFmtId="0" fontId="5" fillId="14" borderId="38" xfId="0" applyFont="1" applyFill="1" applyBorder="1" applyAlignment="1">
      <alignment horizontal="justify" vertical="center" wrapText="1"/>
    </xf>
    <xf numFmtId="0" fontId="20" fillId="0" borderId="34" xfId="0" applyFont="1" applyBorder="1" applyAlignment="1">
      <alignment horizontal="justify" vertical="center"/>
    </xf>
    <xf numFmtId="0" fontId="7" fillId="0" borderId="34" xfId="0" applyFont="1" applyBorder="1" applyAlignment="1">
      <alignment horizontal="justify" vertical="center"/>
    </xf>
    <xf numFmtId="0" fontId="5" fillId="0" borderId="33" xfId="0" applyFont="1" applyBorder="1" applyAlignment="1">
      <alignment horizontal="justify" vertical="center"/>
    </xf>
    <xf numFmtId="0" fontId="20" fillId="13" borderId="34" xfId="0" applyFont="1" applyFill="1" applyBorder="1" applyAlignment="1">
      <alignment horizontal="justify" vertical="center"/>
    </xf>
    <xf numFmtId="0" fontId="7" fillId="13" borderId="34" xfId="0" applyFont="1" applyFill="1" applyBorder="1" applyAlignment="1">
      <alignment horizontal="justify" vertical="center"/>
    </xf>
    <xf numFmtId="0" fontId="5" fillId="13" borderId="33" xfId="0" applyFont="1" applyFill="1" applyBorder="1" applyAlignment="1">
      <alignment horizontal="justify" vertical="center"/>
    </xf>
    <xf numFmtId="0" fontId="7" fillId="14" borderId="36" xfId="0" applyFont="1" applyFill="1" applyBorder="1" applyAlignment="1">
      <alignment horizontal="justify" vertical="center"/>
    </xf>
    <xf numFmtId="0" fontId="7" fillId="14" borderId="37" xfId="0" applyFont="1" applyFill="1" applyBorder="1" applyAlignment="1">
      <alignment horizontal="justify" vertical="center"/>
    </xf>
    <xf numFmtId="0" fontId="7" fillId="14" borderId="38" xfId="0" applyFont="1" applyFill="1" applyBorder="1" applyAlignment="1">
      <alignment horizontal="justify" vertical="center"/>
    </xf>
    <xf numFmtId="0" fontId="7" fillId="15" borderId="28" xfId="0" applyFont="1" applyFill="1" applyBorder="1" applyAlignment="1">
      <alignment horizontal="center" wrapText="1"/>
    </xf>
    <xf numFmtId="14" fontId="7" fillId="15" borderId="28" xfId="0" applyNumberFormat="1" applyFont="1" applyFill="1" applyBorder="1" applyAlignment="1">
      <alignment horizontal="center" wrapText="1"/>
    </xf>
    <xf numFmtId="0" fontId="5" fillId="16" borderId="29" xfId="0" applyFont="1" applyFill="1" applyBorder="1" applyAlignment="1">
      <alignment horizontal="center" wrapText="1"/>
    </xf>
    <xf numFmtId="0" fontId="5" fillId="16" borderId="39" xfId="0" applyFont="1" applyFill="1" applyBorder="1" applyAlignment="1">
      <alignment horizontal="center" wrapText="1"/>
    </xf>
    <xf numFmtId="0" fontId="5" fillId="16" borderId="40" xfId="0" applyFont="1" applyFill="1" applyBorder="1" applyAlignment="1">
      <alignment horizontal="center" wrapText="1"/>
    </xf>
    <xf numFmtId="0" fontId="7" fillId="0" borderId="41" xfId="0" applyFont="1" applyBorder="1" applyAlignment="1">
      <alignment horizontal="center" vertical="center" wrapText="1"/>
    </xf>
    <xf numFmtId="0" fontId="7" fillId="17" borderId="41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17" borderId="41" xfId="0" applyFont="1" applyFill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17" borderId="43" xfId="0" applyFont="1" applyFill="1" applyBorder="1" applyAlignment="1">
      <alignment horizontal="center" vertical="center" wrapText="1"/>
    </xf>
    <xf numFmtId="0" fontId="7" fillId="17" borderId="44" xfId="0" applyFont="1" applyFill="1" applyBorder="1" applyAlignment="1">
      <alignment horizontal="center" vertical="center" wrapText="1"/>
    </xf>
    <xf numFmtId="0" fontId="7" fillId="17" borderId="45" xfId="0" applyFont="1" applyFill="1" applyBorder="1" applyAlignment="1">
      <alignment horizontal="center" vertical="center" wrapText="1"/>
    </xf>
    <xf numFmtId="0" fontId="7" fillId="17" borderId="46" xfId="0" applyFont="1" applyFill="1" applyBorder="1" applyAlignment="1">
      <alignment horizontal="center" vertical="center" wrapText="1"/>
    </xf>
    <xf numFmtId="0" fontId="7" fillId="17" borderId="47" xfId="0" applyFont="1" applyFill="1" applyBorder="1" applyAlignment="1">
      <alignment horizontal="center" vertical="center" wrapText="1"/>
    </xf>
    <xf numFmtId="14" fontId="7" fillId="15" borderId="28" xfId="0" applyNumberFormat="1" applyFont="1" applyFill="1" applyBorder="1" applyAlignment="1">
      <alignment horizontal="right" wrapText="1"/>
    </xf>
    <xf numFmtId="0" fontId="7" fillId="16" borderId="29" xfId="0" applyFont="1" applyFill="1" applyBorder="1" applyAlignment="1">
      <alignment horizontal="center" wrapText="1"/>
    </xf>
    <xf numFmtId="0" fontId="3" fillId="0" borderId="34" xfId="0" applyFont="1" applyBorder="1" applyAlignment="1">
      <alignment horizontal="justify" vertical="center"/>
    </xf>
    <xf numFmtId="0" fontId="4" fillId="0" borderId="33" xfId="0" applyFont="1" applyBorder="1" applyAlignment="1">
      <alignment horizontal="justify" vertical="center"/>
    </xf>
  </cellXfs>
  <cellStyles count="4">
    <cellStyle name="Énfasis5" xfId="1" builtinId="45"/>
    <cellStyle name="Millares" xfId="2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</cx:chartData>
  <cx:chart>
    <cx:title pos="t" align="ctr" overlay="0">
      <cx:tx>
        <cx:txData>
          <cx:v>COMPARACIÓN CAMBIO LONGITUD DE LA FISURA BNP1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cs typeface="Arial" panose="020B0604020202020204" pitchFamily="34" charset="0"/>
            </a:rPr>
            <a:t>COMPARACIÓN CAMBIO LONGITUD DE LA FISURA BNP1</a:t>
          </a:r>
        </a:p>
      </cx:txPr>
    </cx:title>
    <cx:plotArea>
      <cx:plotAreaRegion>
        <cx:series layoutId="boxWhisker" uniqueId="{99983109-EFA5-42F0-BF8D-8101DFCEB2DA}">
          <cx:tx>
            <cx:txData>
              <cx:f>_xlchart.v1.0</cx:f>
              <cx:v>FISURA  (mm) T2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028F99D4-99C9-47C8-8915-E87B3C14393D}">
          <cx:tx>
            <cx:txData>
              <cx:f>_xlchart.v1.2</cx:f>
              <cx:v>FISURA  (mm) T2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txData>
              <cx:v>mm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rPr>
                <a:t>mm</a:t>
              </a:r>
            </a:p>
          </cx:txPr>
        </cx:title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  <cx:legend pos="t" align="ctr" overlay="0">
      <cx:txPr>
        <a:bodyPr vertOverflow="overflow" horzOverflow="overflow" wrap="square" lIns="0" tIns="0" rIns="0" bIns="0"/>
        <a:lstStyle/>
        <a:p>
          <a:pPr algn="ctr" rtl="0">
            <a:defRPr sz="1200" b="0" i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/>
        </a:p>
      </cx:txPr>
    </cx:legend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  <cx:data id="1">
      <cx:numDim type="val">
        <cx:f>_xlchart.v1.7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400" b="0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COMPARACIÓN CAMBIO LONGITUD DE LA FISURA BNP3</a:t>
            </a:r>
            <a:endParaRPr lang="es-CO" sz="14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x:rich>
      </cx:tx>
    </cx:title>
    <cx:plotArea>
      <cx:plotAreaRegion>
        <cx:series layoutId="boxWhisker" uniqueId="{FD0A0AB9-2C1E-402E-A5DA-14B315A78342}">
          <cx:tx>
            <cx:txData>
              <cx:f>_xlchart.v1.4</cx:f>
              <cx:v>FISURA  (mm) T1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67D348D3-670A-47A1-87C4-0A178E0D9F28}">
          <cx:tx>
            <cx:txData>
              <cx:f>_xlchart.v1.6</cx:f>
              <cx:v>FISURA  (mm) T2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txData>
              <cx:v>mm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rPr>
                <a:t>mm</a:t>
              </a:r>
            </a:p>
          </cx:txPr>
        </cx:title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  <cx:legend pos="t" align="ctr" overlay="0">
      <cx:txPr>
        <a:bodyPr vertOverflow="overflow" horzOverflow="overflow" wrap="square" lIns="0" tIns="0" rIns="0" bIns="0"/>
        <a:lstStyle/>
        <a:p>
          <a:pPr algn="ctr" rtl="0">
            <a:defRPr sz="1200" b="0" i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/>
        </a:p>
      </cx:txPr>
    </cx:legend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_xlchart.v1.11</cx:f>
      </cx:numDim>
    </cx:data>
    <cx:data id="1">
      <cx:numDim type="val">
        <cx:f>_xlchart.v1.13</cx:f>
      </cx:numDim>
    </cx:data>
    <cx:data id="2">
      <cx:numDim type="val">
        <cx:f>_xlchart.v1.15</cx:f>
      </cx:numDim>
    </cx:data>
    <cx:data id="3">
      <cx:numDim type="val">
        <cx:f>_xlchart.v1.9</cx:f>
      </cx:numDim>
    </cx:data>
  </cx:chartData>
  <cx:chart>
    <cx:title pos="t" align="ctr" overlay="0">
      <cx:tx>
        <cx:txData>
          <cx:v>COMPRACIÓN CIERRE FISURAS mm BPN1-BPN3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COMPRACIÓN CIERRE FISURAS mm BPN1-BPN3</a:t>
          </a:r>
        </a:p>
      </cx:txPr>
    </cx:title>
    <cx:plotArea>
      <cx:plotAreaRegion>
        <cx:series layoutId="boxWhisker" uniqueId="{1C6E3020-C4C9-4099-AF73-9580A1DD98CA}">
          <cx:tx>
            <cx:txData>
              <cx:f>_xlchart.v1.10</cx:f>
              <cx:v>BNP1.FISURA  (mm) T2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E9FE9C15-2492-4B1F-937F-0527318938C1}">
          <cx:tx>
            <cx:txData>
              <cx:f>_xlchart.v1.12</cx:f>
              <cx:v>BNP1.FISURA  (mm) T2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2B7FE1B5-4BC9-4B99-AB98-7841E224D6F7}">
          <cx:tx>
            <cx:txData>
              <cx:f>_xlchart.v1.14</cx:f>
              <cx:v>BNP3.FISURA  (mm) T1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178C239D-4787-4DDD-AE54-93B5EEA8A354}">
          <cx:tx>
            <cx:txData>
              <cx:f>_xlchart.v1.8</cx:f>
              <cx:v>BNP3.FISURA  (mm) T2</cx:v>
            </cx:txData>
          </cx:tx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txData>
              <cx:v>mm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s-E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rPr>
                <a:t>mm</a:t>
              </a:r>
            </a:p>
          </cx:txPr>
        </cx:title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200" b="0" i="0">
                <a:solidFill>
                  <a:srgbClr val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/>
          </a:p>
        </cx:txPr>
      </cx:axis>
    </cx:plotArea>
    <cx:legend pos="t" align="ctr" overlay="0">
      <cx:txPr>
        <a:bodyPr vertOverflow="overflow" horzOverflow="overflow" wrap="square" lIns="0" tIns="0" rIns="0" bIns="0"/>
        <a:lstStyle/>
        <a:p>
          <a:pPr algn="ctr" rtl="0">
            <a:defRPr sz="1200" b="0" i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/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_rels/drawing10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microsoft.com/office/2007/relationships/hdphoto" Target="../media/hdphoto3.wdp"/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9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11</xdr:row>
      <xdr:rowOff>57150</xdr:rowOff>
    </xdr:from>
    <xdr:to>
      <xdr:col>17</xdr:col>
      <xdr:colOff>104775</xdr:colOff>
      <xdr:row>26</xdr:row>
      <xdr:rowOff>85725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74BF36C6-CAD8-4A2D-8C07-C29B594C97E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48550" y="2152650"/>
              <a:ext cx="3886200" cy="2886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19</xdr:col>
      <xdr:colOff>0</xdr:colOff>
      <xdr:row>12</xdr:row>
      <xdr:rowOff>0</xdr:rowOff>
    </xdr:from>
    <xdr:to>
      <xdr:col>26</xdr:col>
      <xdr:colOff>123825</xdr:colOff>
      <xdr:row>27</xdr:row>
      <xdr:rowOff>28575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AD4678A9-705B-449E-88D3-3BABD7ACAFE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753975" y="2286000"/>
              <a:ext cx="4038600" cy="2886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489284" cy="1333500"/>
    <xdr:pic>
      <xdr:nvPicPr>
        <xdr:cNvPr id="2" name="Imagen 1" descr="Tabla&#10;&#10;Descripción generada automáticamente">
          <a:extLst>
            <a:ext uri="{FF2B5EF4-FFF2-40B4-BE49-F238E27FC236}">
              <a16:creationId xmlns:a16="http://schemas.microsoft.com/office/drawing/2014/main" id="{2AC66D05-ACD6-4D6F-BDEA-428FCF638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89284" cy="1333500"/>
        </a:xfrm>
        <a:prstGeom prst="rect">
          <a:avLst/>
        </a:prstGeom>
        <a:noFill/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404170" cy="1314450"/>
    <xdr:pic>
      <xdr:nvPicPr>
        <xdr:cNvPr id="2" name="Imagen 1">
          <a:extLst>
            <a:ext uri="{FF2B5EF4-FFF2-40B4-BE49-F238E27FC236}">
              <a16:creationId xmlns:a16="http://schemas.microsoft.com/office/drawing/2014/main" id="{4B6E047B-81B7-4976-854A-DDCEF8D1C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04170" cy="1314450"/>
        </a:xfrm>
        <a:prstGeom prst="rect">
          <a:avLst/>
        </a:prstGeom>
        <a:noFill/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897838" cy="1019175"/>
    <xdr:pic>
      <xdr:nvPicPr>
        <xdr:cNvPr id="2" name="table" descr="Tabla&#10;&#10;Descripción generada automáticamente">
          <a:extLst>
            <a:ext uri="{FF2B5EF4-FFF2-40B4-BE49-F238E27FC236}">
              <a16:creationId xmlns:a16="http://schemas.microsoft.com/office/drawing/2014/main" id="{6C604230-6765-4428-A33D-D2663A1C9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97838" cy="1019175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72680" cy="1200150"/>
    <xdr:pic>
      <xdr:nvPicPr>
        <xdr:cNvPr id="2" name="Imagen 1">
          <a:extLst>
            <a:ext uri="{FF2B5EF4-FFF2-40B4-BE49-F238E27FC236}">
              <a16:creationId xmlns:a16="http://schemas.microsoft.com/office/drawing/2014/main" id="{0958A5F3-7662-4C0C-BDF5-2E76D26FC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72680" cy="12001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11906</xdr:colOff>
      <xdr:row>129</xdr:row>
      <xdr:rowOff>27382</xdr:rowOff>
    </xdr:from>
    <xdr:to>
      <xdr:col>34</xdr:col>
      <xdr:colOff>738187</xdr:colOff>
      <xdr:row>147</xdr:row>
      <xdr:rowOff>95248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1E34CD1B-35D8-4B3D-AE6E-AC6D8A313DB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529631" y="24763807"/>
              <a:ext cx="5298281" cy="349686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19050</xdr:rowOff>
    </xdr:from>
    <xdr:ext cx="6391464" cy="2133600"/>
    <xdr:pic>
      <xdr:nvPicPr>
        <xdr:cNvPr id="2" name="Picture 1830646226">
          <a:extLst>
            <a:ext uri="{FF2B5EF4-FFF2-40B4-BE49-F238E27FC236}">
              <a16:creationId xmlns:a16="http://schemas.microsoft.com/office/drawing/2014/main" id="{7F676164-AB0E-46E2-A7B4-2FFAC1206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09550"/>
          <a:ext cx="6391464" cy="21336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96000" cy="2341823"/>
    <xdr:pic>
      <xdr:nvPicPr>
        <xdr:cNvPr id="2" name="Imagen 1">
          <a:extLst>
            <a:ext uri="{FF2B5EF4-FFF2-40B4-BE49-F238E27FC236}">
              <a16:creationId xmlns:a16="http://schemas.microsoft.com/office/drawing/2014/main" id="{2EDE0BB9-A2A6-4101-94C5-F5C4E6395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96000" cy="234182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838950" cy="2435896"/>
    <xdr:pic>
      <xdr:nvPicPr>
        <xdr:cNvPr id="2" name="Imagen 1">
          <a:extLst>
            <a:ext uri="{FF2B5EF4-FFF2-40B4-BE49-F238E27FC236}">
              <a16:creationId xmlns:a16="http://schemas.microsoft.com/office/drawing/2014/main" id="{909279FE-5874-4504-9FF1-1AF9C6DDF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38950" cy="243589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72274" cy="2412146"/>
    <xdr:pic>
      <xdr:nvPicPr>
        <xdr:cNvPr id="2" name="Imagen 1">
          <a:extLst>
            <a:ext uri="{FF2B5EF4-FFF2-40B4-BE49-F238E27FC236}">
              <a16:creationId xmlns:a16="http://schemas.microsoft.com/office/drawing/2014/main" id="{18991D28-566B-4D3D-A469-1036FBB49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72274" cy="241214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57149</xdr:colOff>
      <xdr:row>0</xdr:row>
      <xdr:rowOff>85725</xdr:rowOff>
    </xdr:from>
    <xdr:ext cx="7511487" cy="2266950"/>
    <xdr:pic>
      <xdr:nvPicPr>
        <xdr:cNvPr id="2" name="Imagen 1">
          <a:extLst>
            <a:ext uri="{FF2B5EF4-FFF2-40B4-BE49-F238E27FC236}">
              <a16:creationId xmlns:a16="http://schemas.microsoft.com/office/drawing/2014/main" id="{F3BFCF88-1A19-4744-8852-2A7E1BA8B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85725"/>
          <a:ext cx="7511487" cy="22669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048500" cy="5257072"/>
    <xdr:pic>
      <xdr:nvPicPr>
        <xdr:cNvPr id="2" name="Imagen 1">
          <a:extLst>
            <a:ext uri="{FF2B5EF4-FFF2-40B4-BE49-F238E27FC236}">
              <a16:creationId xmlns:a16="http://schemas.microsoft.com/office/drawing/2014/main" id="{095F84C7-B913-4A71-B8DB-7AC30D865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48500" cy="525707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219950" cy="4059094"/>
    <xdr:pic>
      <xdr:nvPicPr>
        <xdr:cNvPr id="2" name="Imagen 1">
          <a:extLst>
            <a:ext uri="{FF2B5EF4-FFF2-40B4-BE49-F238E27FC236}">
              <a16:creationId xmlns:a16="http://schemas.microsoft.com/office/drawing/2014/main" id="{F61F6A7A-6152-4D2A-9FAB-6F9148EC1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19950" cy="4059094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anamericana/AppData/Roaming/Microsoft/Complementos/XRealStats.xla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mhuertasm_unicoc_edu_co/Documents/TESIS/TABLAS%20DE%20DATOS/TABLA%20PACIENTES%20clasific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XRealStats"/>
    </sheetNames>
    <definedNames>
      <definedName name="DAGOSTINO"/>
      <definedName name="DPTEST"/>
      <definedName name="IQR"/>
      <definedName name="MAD"/>
      <definedName name="MWDIST"/>
      <definedName name="QCRIT"/>
      <definedName name="QDIST"/>
      <definedName name="RANK_SUM"/>
      <definedName name="SHAPIRO"/>
      <definedName name="SRANK"/>
      <definedName name="SRDIST"/>
      <definedName name="SWTEST"/>
      <definedName name="TiesCorrectio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P1 Y BNP3"/>
      <sheetName val="BNP1"/>
      <sheetName val="BNP3"/>
      <sheetName val="TABLA PACIENTES clasificado"/>
    </sheetNames>
    <sheetDataSet>
      <sheetData sheetId="0"/>
      <sheetData sheetId="1"/>
      <sheetData sheetId="2"/>
      <sheetData sheetId="3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5359.520616550923" createdVersion="7" refreshedVersion="7" minRefreshableVersion="3" recordCount="37" xr:uid="{BB1028F6-EB00-40BC-A586-6560B84B740D}">
  <cacheSource type="worksheet">
    <worksheetSource ref="A1:E38" sheet="DIAGNOSTICO LPHU"/>
  </cacheSource>
  <cacheFields count="5">
    <cacheField name="PACIENTE N°" numFmtId="0">
      <sharedItems containsSemiMixedTypes="0" containsString="0" containsNumber="1" containsInteger="1" minValue="1" maxValue="38"/>
    </cacheField>
    <cacheField name="NOMBRE" numFmtId="0">
      <sharedItems/>
    </cacheField>
    <cacheField name="SEXO" numFmtId="164">
      <sharedItems count="2">
        <s v="M"/>
        <s v="F"/>
      </sharedItems>
    </cacheField>
    <cacheField name="EDAD EN MESES" numFmtId="1">
      <sharedItems containsSemiMixedTypes="0" containsString="0" containsNumber="1" minValue="0" maxValue="175.5"/>
    </cacheField>
    <cacheField name="DIAGNOSTICO" numFmtId="0">
      <sharedItems count="3">
        <s v="LPHUI "/>
        <s v="LPHUD"/>
        <s v="LHUI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n v="1"/>
    <s v="JHOAN DAVID VALENCIA"/>
    <x v="0"/>
    <n v="2"/>
    <x v="0"/>
  </r>
  <r>
    <n v="37"/>
    <s v="ANDREW PINEDA MORALES"/>
    <x v="0"/>
    <n v="7.333333333333333"/>
    <x v="1"/>
  </r>
  <r>
    <n v="38"/>
    <s v="JORDAN MATEO "/>
    <x v="0"/>
    <n v="7.333333333333333"/>
    <x v="0"/>
  </r>
  <r>
    <n v="36"/>
    <s v="DYLAN TORRES VELASQUEZ"/>
    <x v="0"/>
    <n v="8.5833333333333339"/>
    <x v="1"/>
  </r>
  <r>
    <n v="11"/>
    <s v="DILLAN RAMIREZ"/>
    <x v="0"/>
    <n v="10.5"/>
    <x v="0"/>
  </r>
  <r>
    <n v="15"/>
    <s v="JEAN PAUL RAVE MEJIA"/>
    <x v="0"/>
    <n v="10.916666666666666"/>
    <x v="0"/>
  </r>
  <r>
    <n v="25"/>
    <s v="BRYANA DUQUE  GRANADA"/>
    <x v="0"/>
    <n v="11.25"/>
    <x v="0"/>
  </r>
  <r>
    <n v="21"/>
    <s v="MATIAS ARANZAZU ROLDAN"/>
    <x v="0"/>
    <n v="13.25"/>
    <x v="0"/>
  </r>
  <r>
    <n v="6"/>
    <s v="ISACC LOPEZ"/>
    <x v="0"/>
    <n v="14.166666666666666"/>
    <x v="1"/>
  </r>
  <r>
    <n v="5"/>
    <s v="LUCIANA GRAJALES"/>
    <x v="1"/>
    <n v="15.166666666666666"/>
    <x v="1"/>
  </r>
  <r>
    <n v="13"/>
    <s v="VIOLETA RODRIGUEZ  MEDINA"/>
    <x v="1"/>
    <n v="15.25"/>
    <x v="0"/>
  </r>
  <r>
    <n v="24"/>
    <s v="NORBEY MURILLO SINTUA"/>
    <x v="1"/>
    <n v="15.833333333333334"/>
    <x v="0"/>
  </r>
  <r>
    <n v="19"/>
    <s v="BRANDON LLANO MOLINA"/>
    <x v="0"/>
    <n v="15.916666666666666"/>
    <x v="1"/>
  </r>
  <r>
    <n v="4"/>
    <s v="ANA SOFIA MARIN HERRERA"/>
    <x v="1"/>
    <n v="16.75"/>
    <x v="0"/>
  </r>
  <r>
    <n v="3"/>
    <s v="CRITHIAN C. BEDOYA ALVARADO"/>
    <x v="0"/>
    <n v="17.333333333333332"/>
    <x v="1"/>
  </r>
  <r>
    <n v="8"/>
    <s v="LUIS  ALEJANDRO ORTEGA"/>
    <x v="0"/>
    <n v="20.416666666666668"/>
    <x v="0"/>
  </r>
  <r>
    <n v="22"/>
    <s v="JOSE LUIS ARIAS CEBALLOS."/>
    <x v="1"/>
    <n v="21"/>
    <x v="0"/>
  </r>
  <r>
    <n v="7"/>
    <s v="SAMUEL ESCOBAR PELAEZ."/>
    <x v="0"/>
    <n v="22.75"/>
    <x v="1"/>
  </r>
  <r>
    <n v="2"/>
    <s v="CARLOS MARIO GARCIA  GARCIA"/>
    <x v="0"/>
    <n v="25.333333333333332"/>
    <x v="0"/>
  </r>
  <r>
    <n v="12"/>
    <s v="ANA SOFIA SALAZAR"/>
    <x v="1"/>
    <n v="30"/>
    <x v="0"/>
  </r>
  <r>
    <n v="23"/>
    <s v="SARA ISABELLA MAGON ORTEGA"/>
    <x v="0"/>
    <n v="32.166666666666664"/>
    <x v="1"/>
  </r>
  <r>
    <n v="17"/>
    <s v="MARIA JOSE ACEVEDO"/>
    <x v="1"/>
    <n v="46"/>
    <x v="1"/>
  </r>
  <r>
    <n v="16"/>
    <s v="PABLO CARDONA BASTIDAS"/>
    <x v="0"/>
    <n v="175.5"/>
    <x v="0"/>
  </r>
  <r>
    <n v="9"/>
    <s v="NIKOLAS OSORIO"/>
    <x v="0"/>
    <n v="0.25"/>
    <x v="0"/>
  </r>
  <r>
    <n v="10"/>
    <s v="KEVIN TAPASCO"/>
    <x v="0"/>
    <n v="0.25"/>
    <x v="1"/>
  </r>
  <r>
    <n v="14"/>
    <s v="ANDRES FELIPE BLANDON ARIAS."/>
    <x v="0"/>
    <n v="0.33333333333333331"/>
    <x v="0"/>
  </r>
  <r>
    <n v="18"/>
    <s v="JHOANN  GONZALEZ OCAMPO"/>
    <x v="0"/>
    <n v="17.916666666666668"/>
    <x v="1"/>
  </r>
  <r>
    <n v="26"/>
    <s v="ANA GABRIEL"/>
    <x v="1"/>
    <n v="0"/>
    <x v="2"/>
  </r>
  <r>
    <n v="27"/>
    <s v="ARIANA"/>
    <x v="1"/>
    <n v="0"/>
    <x v="1"/>
  </r>
  <r>
    <n v="28"/>
    <s v="EITHAN"/>
    <x v="0"/>
    <n v="0"/>
    <x v="1"/>
  </r>
  <r>
    <n v="29"/>
    <s v="LAURENT"/>
    <x v="1"/>
    <n v="0"/>
    <x v="0"/>
  </r>
  <r>
    <n v="30"/>
    <s v="EMILY"/>
    <x v="1"/>
    <n v="0"/>
    <x v="0"/>
  </r>
  <r>
    <n v="31"/>
    <s v="DILAN ANDRES"/>
    <x v="1"/>
    <n v="0"/>
    <x v="0"/>
  </r>
  <r>
    <n v="32"/>
    <s v="VALERIA HERRERA"/>
    <x v="1"/>
    <n v="0"/>
    <x v="0"/>
  </r>
  <r>
    <n v="33"/>
    <s v="WILSON ANTONIO RUBAY"/>
    <x v="0"/>
    <n v="0"/>
    <x v="0"/>
  </r>
  <r>
    <n v="34"/>
    <s v="LUISA DAHIANA SABOGAL"/>
    <x v="1"/>
    <n v="0"/>
    <x v="1"/>
  </r>
  <r>
    <n v="35"/>
    <s v="MARTINA PEÑA"/>
    <x v="1"/>
    <n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6F38D7-3086-467A-AD5B-B37BB6712AA5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B7" firstHeaderRow="1" firstDataRow="1" firstDataCol="1" rowPageCount="1" colPageCount="1"/>
  <pivotFields count="5">
    <pivotField showAll="0"/>
    <pivotField showAll="0"/>
    <pivotField axis="axisPage" showAll="0">
      <items count="3">
        <item x="1"/>
        <item x="0"/>
        <item t="default"/>
      </items>
    </pivotField>
    <pivotField dataField="1" numFmtId="1" showAll="0"/>
    <pivotField axis="axisRow" showAll="0">
      <items count="4">
        <item x="2"/>
        <item x="1"/>
        <item x="0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" hier="-1"/>
  </pageFields>
  <dataFields count="1">
    <dataField name="Promedio de EDAD EN MESES" fld="3" subtotal="average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D6544-EEFF-47C7-BE59-64AE7ECE99B4}">
  <dimension ref="A1:AZ11"/>
  <sheetViews>
    <sheetView topLeftCell="C1" zoomScale="85" zoomScaleNormal="85" workbookViewId="0">
      <selection activeCell="F5" sqref="F5"/>
    </sheetView>
  </sheetViews>
  <sheetFormatPr baseColWidth="10" defaultColWidth="11.42578125" defaultRowHeight="15" x14ac:dyDescent="0.25"/>
  <cols>
    <col min="1" max="1" width="17.140625" hidden="1" customWidth="1"/>
    <col min="2" max="2" width="28.42578125" hidden="1" customWidth="1"/>
    <col min="3" max="3" width="2.85546875" bestFit="1" customWidth="1"/>
    <col min="4" max="4" width="24.5703125" customWidth="1"/>
    <col min="5" max="5" width="3.42578125" customWidth="1"/>
    <col min="6" max="6" width="55" bestFit="1" customWidth="1"/>
    <col min="7" max="7" width="3.42578125" customWidth="1"/>
    <col min="8" max="8" width="14.140625" bestFit="1" customWidth="1"/>
    <col min="9" max="9" width="2.85546875" bestFit="1" customWidth="1"/>
    <col min="10" max="10" width="5.42578125" style="57" bestFit="1" customWidth="1"/>
    <col min="11" max="11" width="2.85546875" bestFit="1" customWidth="1"/>
    <col min="12" max="12" width="5.42578125" bestFit="1" customWidth="1"/>
    <col min="13" max="13" width="10.42578125" customWidth="1"/>
    <col min="14" max="14" width="5.42578125" bestFit="1" customWidth="1"/>
    <col min="15" max="15" width="5.42578125" customWidth="1"/>
    <col min="16" max="16" width="13.7109375" customWidth="1"/>
    <col min="17" max="17" width="13.42578125" customWidth="1"/>
    <col min="20" max="20" width="15.42578125" bestFit="1" customWidth="1"/>
    <col min="21" max="21" width="2.85546875" bestFit="1" customWidth="1"/>
    <col min="22" max="22" width="5.42578125" bestFit="1" customWidth="1"/>
    <col min="24" max="24" width="6.5703125" bestFit="1" customWidth="1"/>
    <col min="25" max="25" width="8.7109375" bestFit="1" customWidth="1"/>
    <col min="26" max="26" width="8.28515625" bestFit="1" customWidth="1"/>
    <col min="27" max="27" width="6.140625" customWidth="1"/>
    <col min="34" max="34" width="3.28515625" customWidth="1"/>
    <col min="35" max="35" width="20.85546875" bestFit="1" customWidth="1"/>
    <col min="36" max="36" width="3.140625" bestFit="1" customWidth="1"/>
    <col min="37" max="37" width="5.5703125" bestFit="1" customWidth="1"/>
    <col min="38" max="38" width="9.42578125" customWidth="1"/>
    <col min="39" max="39" width="6.85546875" bestFit="1" customWidth="1"/>
    <col min="40" max="40" width="8.7109375" bestFit="1" customWidth="1"/>
    <col min="41" max="41" width="8.42578125" bestFit="1" customWidth="1"/>
    <col min="42" max="42" width="5.5703125" bestFit="1" customWidth="1"/>
    <col min="44" max="44" width="6.7109375" bestFit="1" customWidth="1"/>
    <col min="45" max="45" width="4.140625" bestFit="1" customWidth="1"/>
    <col min="46" max="46" width="3.42578125" customWidth="1"/>
    <col min="47" max="48" width="20.85546875" bestFit="1" customWidth="1"/>
    <col min="49" max="49" width="5.7109375" bestFit="1" customWidth="1"/>
    <col min="50" max="50" width="7.42578125" bestFit="1" customWidth="1"/>
  </cols>
  <sheetData>
    <row r="1" spans="1:52" x14ac:dyDescent="0.25">
      <c r="A1" s="53" t="s">
        <v>0</v>
      </c>
      <c r="B1" t="s">
        <v>1</v>
      </c>
      <c r="D1" t="s">
        <v>2</v>
      </c>
      <c r="F1" t="s">
        <v>3</v>
      </c>
    </row>
    <row r="2" spans="1:52" x14ac:dyDescent="0.25">
      <c r="D2" t="s">
        <v>4</v>
      </c>
      <c r="F2" t="s">
        <v>5</v>
      </c>
      <c r="S2" s="123" t="s">
        <v>6</v>
      </c>
      <c r="T2" s="129" t="s">
        <v>7</v>
      </c>
      <c r="U2" s="115" t="s">
        <v>8</v>
      </c>
      <c r="V2" s="115" t="s">
        <v>9</v>
      </c>
      <c r="W2" s="116" t="s">
        <v>10</v>
      </c>
      <c r="X2" s="115" t="s">
        <v>11</v>
      </c>
      <c r="Y2" s="115" t="s">
        <v>12</v>
      </c>
      <c r="Z2" s="115" t="s">
        <v>13</v>
      </c>
      <c r="AA2" s="115" t="s">
        <v>14</v>
      </c>
      <c r="AB2" s="114" t="s">
        <v>15</v>
      </c>
      <c r="AC2" s="115" t="s">
        <v>16</v>
      </c>
      <c r="AI2" s="128" t="s">
        <v>17</v>
      </c>
      <c r="AJ2" s="115" t="s">
        <v>8</v>
      </c>
      <c r="AK2" s="115" t="s">
        <v>9</v>
      </c>
      <c r="AL2" s="116" t="s">
        <v>10</v>
      </c>
      <c r="AM2" s="115" t="s">
        <v>11</v>
      </c>
      <c r="AN2" s="115" t="s">
        <v>12</v>
      </c>
      <c r="AO2" s="115" t="s">
        <v>13</v>
      </c>
      <c r="AP2" s="115" t="s">
        <v>14</v>
      </c>
      <c r="AQ2" s="114" t="s">
        <v>15</v>
      </c>
      <c r="AR2" s="123" t="s">
        <v>18</v>
      </c>
      <c r="AS2" s="123" t="s">
        <v>19</v>
      </c>
      <c r="AU2" t="s">
        <v>20</v>
      </c>
    </row>
    <row r="3" spans="1:52" ht="15" customHeight="1" x14ac:dyDescent="0.25">
      <c r="A3" s="53" t="s">
        <v>21</v>
      </c>
      <c r="B3" t="s">
        <v>22</v>
      </c>
      <c r="D3" t="s">
        <v>23</v>
      </c>
      <c r="F3" t="s">
        <v>24</v>
      </c>
      <c r="H3" s="66"/>
      <c r="I3" s="66"/>
      <c r="J3" s="67"/>
      <c r="K3" s="66"/>
      <c r="L3" s="66"/>
      <c r="M3" s="119" t="s">
        <v>25</v>
      </c>
      <c r="N3" s="66"/>
      <c r="O3" s="66"/>
      <c r="P3" s="121" t="s">
        <v>26</v>
      </c>
      <c r="Q3" s="118" t="s">
        <v>27</v>
      </c>
      <c r="S3" s="123"/>
      <c r="T3" s="129"/>
      <c r="U3" s="115"/>
      <c r="V3" s="115"/>
      <c r="W3" s="116"/>
      <c r="X3" s="115"/>
      <c r="Y3" s="115"/>
      <c r="Z3" s="115"/>
      <c r="AA3" s="115"/>
      <c r="AB3" s="114"/>
      <c r="AC3" s="115"/>
      <c r="AI3" s="128"/>
      <c r="AJ3" s="115"/>
      <c r="AK3" s="115"/>
      <c r="AL3" s="116"/>
      <c r="AM3" s="115"/>
      <c r="AN3" s="115"/>
      <c r="AO3" s="115"/>
      <c r="AP3" s="115"/>
      <c r="AQ3" s="114"/>
      <c r="AR3" s="124"/>
      <c r="AS3" s="124"/>
      <c r="AU3" s="113" t="s">
        <v>28</v>
      </c>
      <c r="AV3" s="113" t="s">
        <v>29</v>
      </c>
      <c r="AW3" s="113" t="s">
        <v>30</v>
      </c>
      <c r="AX3" s="113" t="s">
        <v>18</v>
      </c>
    </row>
    <row r="4" spans="1:52" x14ac:dyDescent="0.25">
      <c r="A4" s="54" t="s">
        <v>31</v>
      </c>
      <c r="B4">
        <v>0</v>
      </c>
      <c r="D4" t="s">
        <v>32</v>
      </c>
      <c r="F4" t="s">
        <v>33</v>
      </c>
      <c r="H4" s="68" t="s">
        <v>34</v>
      </c>
      <c r="I4" s="68" t="s">
        <v>35</v>
      </c>
      <c r="J4" s="69" t="s">
        <v>36</v>
      </c>
      <c r="K4" s="68" t="s">
        <v>37</v>
      </c>
      <c r="L4" s="68" t="s">
        <v>36</v>
      </c>
      <c r="M4" s="120"/>
      <c r="N4" s="68" t="s">
        <v>38</v>
      </c>
      <c r="O4" s="70" t="s">
        <v>36</v>
      </c>
      <c r="P4" s="121"/>
      <c r="Q4" s="118"/>
      <c r="S4" s="117" t="s">
        <v>39</v>
      </c>
      <c r="T4" s="44" t="s">
        <v>40</v>
      </c>
      <c r="U4" s="44">
        <v>18</v>
      </c>
      <c r="V4" s="86">
        <v>1.7407407407407409</v>
      </c>
      <c r="W4" s="86">
        <v>1.0748344540096324</v>
      </c>
      <c r="X4" s="86">
        <v>0</v>
      </c>
      <c r="Y4" s="86">
        <v>17.916666666666668</v>
      </c>
      <c r="Z4" s="86">
        <v>0</v>
      </c>
      <c r="AA4" s="86">
        <v>0.25</v>
      </c>
      <c r="AB4" s="88">
        <v>7.0994314538275205E-8</v>
      </c>
      <c r="AC4" s="115"/>
      <c r="AI4" s="44" t="s">
        <v>41</v>
      </c>
      <c r="AJ4" s="44">
        <v>18</v>
      </c>
      <c r="AK4" s="86">
        <v>1.7407407407407409</v>
      </c>
      <c r="AL4" s="86">
        <v>1.0748344540096324</v>
      </c>
      <c r="AM4" s="86">
        <v>0</v>
      </c>
      <c r="AN4" s="86">
        <v>17.916666666666668</v>
      </c>
      <c r="AO4" s="86">
        <v>0</v>
      </c>
      <c r="AP4" s="86">
        <v>0.25</v>
      </c>
      <c r="AQ4" s="88">
        <v>7.0994314538275205E-8</v>
      </c>
      <c r="AR4" s="106">
        <v>5.3250048903663583E-7</v>
      </c>
      <c r="AS4" s="103" t="s">
        <v>42</v>
      </c>
      <c r="AU4" s="44" t="s">
        <v>43</v>
      </c>
      <c r="AV4" s="44" t="s">
        <v>43</v>
      </c>
      <c r="AW4" s="109">
        <v>8.4444444444444446</v>
      </c>
      <c r="AX4" s="110">
        <v>3.6340402180845555E-4</v>
      </c>
    </row>
    <row r="5" spans="1:52" x14ac:dyDescent="0.25">
      <c r="A5" s="54" t="s">
        <v>44</v>
      </c>
      <c r="B5">
        <v>14.113095238095237</v>
      </c>
      <c r="D5" t="s">
        <v>45</v>
      </c>
      <c r="F5" t="s">
        <v>46</v>
      </c>
      <c r="H5" s="54" t="s">
        <v>31</v>
      </c>
      <c r="I5">
        <v>1</v>
      </c>
      <c r="J5" s="57">
        <f>+I5/15</f>
        <v>6.6666666666666666E-2</v>
      </c>
      <c r="K5">
        <v>0</v>
      </c>
      <c r="L5" s="57">
        <f>+K5/22</f>
        <v>0</v>
      </c>
      <c r="M5" s="72" t="s">
        <v>47</v>
      </c>
      <c r="N5">
        <v>1</v>
      </c>
      <c r="O5" s="57">
        <f>+N5/37</f>
        <v>2.7027027027027029E-2</v>
      </c>
      <c r="P5" s="122">
        <v>1.1657310440282842E-6</v>
      </c>
      <c r="Q5" s="59">
        <v>0</v>
      </c>
      <c r="S5" s="117"/>
      <c r="T5" s="44" t="s">
        <v>48</v>
      </c>
      <c r="U5" s="44">
        <v>18</v>
      </c>
      <c r="V5" s="86">
        <v>11.611111111111111</v>
      </c>
      <c r="W5" s="86">
        <v>0.77602510272419511</v>
      </c>
      <c r="X5" s="86">
        <v>12</v>
      </c>
      <c r="Y5" s="86">
        <v>16</v>
      </c>
      <c r="Z5" s="86">
        <v>3</v>
      </c>
      <c r="AA5" s="86">
        <v>3.5</v>
      </c>
      <c r="AB5" s="88">
        <v>3.2054004657859902E-2</v>
      </c>
      <c r="AC5" s="125">
        <v>2.0641784968766785E-4</v>
      </c>
      <c r="AD5" s="126" t="s">
        <v>49</v>
      </c>
      <c r="AE5" s="127"/>
      <c r="AF5" s="127"/>
      <c r="AG5" s="127"/>
      <c r="AI5" s="44" t="s">
        <v>50</v>
      </c>
      <c r="AJ5" s="44">
        <v>24</v>
      </c>
      <c r="AK5" s="86">
        <v>23.697916666666671</v>
      </c>
      <c r="AL5" s="86">
        <v>6.8697824816444308</v>
      </c>
      <c r="AM5" s="86">
        <v>15.541666666666668</v>
      </c>
      <c r="AN5" s="86">
        <v>175.5</v>
      </c>
      <c r="AO5" s="86">
        <v>2</v>
      </c>
      <c r="AP5" s="86">
        <v>10.270833333333334</v>
      </c>
      <c r="AQ5" s="88">
        <v>2.0221602170522601E-12</v>
      </c>
      <c r="AR5" s="107"/>
      <c r="AS5" s="104"/>
      <c r="AU5" s="44" t="s">
        <v>43</v>
      </c>
      <c r="AV5" s="44" t="s">
        <v>51</v>
      </c>
      <c r="AW5" s="109">
        <v>5.2777777777777777</v>
      </c>
      <c r="AX5" s="111">
        <v>5.4479474342185252E-2</v>
      </c>
    </row>
    <row r="6" spans="1:52" x14ac:dyDescent="0.25">
      <c r="A6" s="54" t="s">
        <v>52</v>
      </c>
      <c r="B6">
        <v>17.087121212121215</v>
      </c>
      <c r="D6" t="s">
        <v>53</v>
      </c>
      <c r="F6" t="s">
        <v>54</v>
      </c>
      <c r="H6" s="54" t="s">
        <v>44</v>
      </c>
      <c r="I6">
        <v>4</v>
      </c>
      <c r="J6" s="57">
        <f t="shared" ref="J6:J8" si="0">+I6/15</f>
        <v>0.26666666666666666</v>
      </c>
      <c r="K6">
        <v>10</v>
      </c>
      <c r="L6" s="57">
        <f t="shared" ref="L6:L8" si="1">+K6/22</f>
        <v>0.45454545454545453</v>
      </c>
      <c r="M6" s="65">
        <v>0.24</v>
      </c>
      <c r="N6">
        <v>14</v>
      </c>
      <c r="O6" s="57">
        <f t="shared" ref="O6:O8" si="2">+N6/37</f>
        <v>0.3783783783783784</v>
      </c>
      <c r="P6" s="122"/>
      <c r="Q6" s="59">
        <v>14.113095238095237</v>
      </c>
      <c r="S6" s="117"/>
      <c r="T6" s="44" t="s">
        <v>48</v>
      </c>
      <c r="U6" s="44">
        <v>18</v>
      </c>
      <c r="V6" s="86">
        <v>3.1666666666666665</v>
      </c>
      <c r="W6" s="86">
        <v>0.54383051954347705</v>
      </c>
      <c r="X6" s="86">
        <v>3</v>
      </c>
      <c r="Y6" s="86">
        <v>9</v>
      </c>
      <c r="Z6" s="86">
        <v>0</v>
      </c>
      <c r="AA6" s="86">
        <v>1.75</v>
      </c>
      <c r="AB6" s="88">
        <v>1.4113836648409261E-2</v>
      </c>
      <c r="AC6" s="125"/>
      <c r="AD6" s="126"/>
      <c r="AE6" s="127"/>
      <c r="AF6" s="127"/>
      <c r="AG6" s="127"/>
      <c r="AI6" s="44" t="s">
        <v>43</v>
      </c>
      <c r="AJ6" s="44">
        <v>18</v>
      </c>
      <c r="AK6" s="86">
        <v>11.611111111111111</v>
      </c>
      <c r="AL6" s="86">
        <v>0.77602510272419511</v>
      </c>
      <c r="AM6" s="86">
        <v>12</v>
      </c>
      <c r="AN6" s="86">
        <v>16</v>
      </c>
      <c r="AO6" s="86">
        <v>3</v>
      </c>
      <c r="AP6" s="86">
        <v>3.5</v>
      </c>
      <c r="AQ6" s="88">
        <v>3.2054004657859902E-2</v>
      </c>
      <c r="AR6" s="106">
        <v>1.4524023356944115E-13</v>
      </c>
      <c r="AS6" s="103" t="s">
        <v>55</v>
      </c>
      <c r="AU6" s="44" t="s">
        <v>43</v>
      </c>
      <c r="AV6" s="44" t="s">
        <v>56</v>
      </c>
      <c r="AW6" s="109">
        <v>11.361111111111111</v>
      </c>
      <c r="AX6" s="110">
        <v>5.9874327718034692E-13</v>
      </c>
    </row>
    <row r="7" spans="1:52" x14ac:dyDescent="0.25">
      <c r="A7" s="54" t="s">
        <v>57</v>
      </c>
      <c r="B7">
        <v>15.5</v>
      </c>
      <c r="D7" t="s">
        <v>58</v>
      </c>
      <c r="F7" t="s">
        <v>59</v>
      </c>
      <c r="H7" s="54" t="s">
        <v>52</v>
      </c>
      <c r="I7">
        <v>10</v>
      </c>
      <c r="J7" s="57">
        <f t="shared" si="0"/>
        <v>0.66666666666666663</v>
      </c>
      <c r="K7">
        <v>12</v>
      </c>
      <c r="L7" s="57">
        <f t="shared" si="1"/>
        <v>0.54545454545454541</v>
      </c>
      <c r="M7" s="65">
        <v>0.46</v>
      </c>
      <c r="N7">
        <v>22</v>
      </c>
      <c r="O7" s="57">
        <f t="shared" si="2"/>
        <v>0.59459459459459463</v>
      </c>
      <c r="P7" s="122"/>
      <c r="Q7" s="59">
        <v>17.087121212121215</v>
      </c>
      <c r="S7" s="117" t="s">
        <v>60</v>
      </c>
      <c r="T7" s="44" t="s">
        <v>40</v>
      </c>
      <c r="U7" s="44">
        <v>24</v>
      </c>
      <c r="V7" s="86">
        <v>23.697916666666671</v>
      </c>
      <c r="W7" s="86">
        <v>6.8697824816444308</v>
      </c>
      <c r="X7" s="86">
        <v>15.541666666666668</v>
      </c>
      <c r="Y7" s="86">
        <v>175.5</v>
      </c>
      <c r="Z7" s="86">
        <v>2</v>
      </c>
      <c r="AA7" s="86">
        <v>10.270833333333334</v>
      </c>
      <c r="AB7" s="88">
        <v>2.0221602170522601E-12</v>
      </c>
      <c r="AC7" s="44"/>
      <c r="AI7" s="44" t="s">
        <v>43</v>
      </c>
      <c r="AJ7" s="44">
        <v>18</v>
      </c>
      <c r="AK7" s="86">
        <v>3.1666666666666665</v>
      </c>
      <c r="AL7" s="86">
        <v>0.54383051954347705</v>
      </c>
      <c r="AM7" s="86">
        <v>3</v>
      </c>
      <c r="AN7" s="86">
        <v>9</v>
      </c>
      <c r="AO7" s="86">
        <v>0</v>
      </c>
      <c r="AP7" s="86">
        <v>1.75</v>
      </c>
      <c r="AQ7" s="88">
        <v>1.4113836648409261E-2</v>
      </c>
      <c r="AR7" s="108"/>
      <c r="AS7" s="105"/>
      <c r="AU7" s="44" t="s">
        <v>43</v>
      </c>
      <c r="AV7" s="44" t="s">
        <v>51</v>
      </c>
      <c r="AW7" s="109">
        <v>3.1666666666666665</v>
      </c>
      <c r="AX7" s="111">
        <v>0.29838749580308244</v>
      </c>
    </row>
    <row r="8" spans="1:52" x14ac:dyDescent="0.25">
      <c r="D8" t="s">
        <v>61</v>
      </c>
      <c r="F8" t="s">
        <v>62</v>
      </c>
      <c r="H8" s="55" t="s">
        <v>57</v>
      </c>
      <c r="I8" s="56">
        <v>15</v>
      </c>
      <c r="J8" s="58">
        <f t="shared" si="0"/>
        <v>1</v>
      </c>
      <c r="K8" s="56">
        <v>22</v>
      </c>
      <c r="L8" s="58">
        <f t="shared" si="1"/>
        <v>1</v>
      </c>
      <c r="M8" s="58"/>
      <c r="N8" s="56">
        <v>37</v>
      </c>
      <c r="O8" s="58">
        <f t="shared" si="2"/>
        <v>1</v>
      </c>
      <c r="P8" s="58"/>
      <c r="Q8" s="60">
        <v>15.5</v>
      </c>
      <c r="S8" s="117"/>
      <c r="T8" s="44" t="s">
        <v>63</v>
      </c>
      <c r="U8" s="44">
        <v>24</v>
      </c>
      <c r="V8" s="86">
        <v>6.333333333333333</v>
      </c>
      <c r="W8" s="86">
        <v>0.79095124042781528</v>
      </c>
      <c r="X8" s="86">
        <v>6.5</v>
      </c>
      <c r="Y8" s="86">
        <v>13</v>
      </c>
      <c r="Z8" s="86">
        <v>1</v>
      </c>
      <c r="AA8" s="86">
        <v>6.5</v>
      </c>
      <c r="AB8" s="91">
        <v>9.9394935276144958E-2</v>
      </c>
      <c r="AC8" s="125">
        <v>2.8309223288003338E-5</v>
      </c>
      <c r="AD8" s="126" t="s">
        <v>64</v>
      </c>
      <c r="AE8" s="127"/>
      <c r="AF8" s="127"/>
      <c r="AG8" s="127"/>
      <c r="AI8" s="44" t="s">
        <v>51</v>
      </c>
      <c r="AJ8" s="44">
        <v>24</v>
      </c>
      <c r="AK8" s="86">
        <v>6.333333333333333</v>
      </c>
      <c r="AL8" s="86">
        <v>0.79095124042781528</v>
      </c>
      <c r="AM8" s="86">
        <v>6.5</v>
      </c>
      <c r="AN8" s="86">
        <v>13</v>
      </c>
      <c r="AO8" s="86">
        <v>1</v>
      </c>
      <c r="AP8" s="86">
        <v>6.5</v>
      </c>
      <c r="AQ8" s="87">
        <v>9.9394935276144958E-2</v>
      </c>
      <c r="AR8" s="108"/>
      <c r="AS8" s="105"/>
      <c r="AU8" s="44" t="s">
        <v>43</v>
      </c>
      <c r="AV8" s="44" t="s">
        <v>56</v>
      </c>
      <c r="AW8" s="109">
        <v>2.9166666666666665</v>
      </c>
      <c r="AX8" s="110">
        <v>7.2572461575639569E-3</v>
      </c>
    </row>
    <row r="9" spans="1:52" x14ac:dyDescent="0.25">
      <c r="D9" t="s">
        <v>65</v>
      </c>
      <c r="F9" t="s">
        <v>66</v>
      </c>
      <c r="H9" s="92" t="s">
        <v>67</v>
      </c>
      <c r="I9" s="47"/>
      <c r="J9" s="93"/>
      <c r="K9" s="47"/>
      <c r="L9" s="47"/>
      <c r="M9" s="47"/>
      <c r="N9" s="47"/>
      <c r="O9" s="47"/>
      <c r="P9" s="47"/>
      <c r="S9" s="117"/>
      <c r="T9" s="44" t="s">
        <v>48</v>
      </c>
      <c r="U9" s="44">
        <v>24</v>
      </c>
      <c r="V9" s="86">
        <v>0.25</v>
      </c>
      <c r="W9" s="86">
        <v>0.12409089702567905</v>
      </c>
      <c r="X9" s="86">
        <v>0</v>
      </c>
      <c r="Y9" s="86">
        <v>2</v>
      </c>
      <c r="Z9" s="86">
        <v>0</v>
      </c>
      <c r="AA9" s="86">
        <v>0</v>
      </c>
      <c r="AB9" s="88">
        <v>6.9992064647417251E-6</v>
      </c>
      <c r="AC9" s="125"/>
      <c r="AD9" s="126"/>
      <c r="AE9" s="127"/>
      <c r="AF9" s="127"/>
      <c r="AG9" s="127"/>
      <c r="AI9" s="44" t="s">
        <v>56</v>
      </c>
      <c r="AJ9" s="44">
        <v>24</v>
      </c>
      <c r="AK9" s="86">
        <v>0.25</v>
      </c>
      <c r="AL9" s="86">
        <v>0.12409089702567905</v>
      </c>
      <c r="AM9" s="86">
        <v>0</v>
      </c>
      <c r="AN9" s="86">
        <v>2</v>
      </c>
      <c r="AO9" s="86">
        <v>0</v>
      </c>
      <c r="AP9" s="86">
        <v>0</v>
      </c>
      <c r="AQ9" s="88">
        <v>6.9992064647417251E-6</v>
      </c>
      <c r="AR9" s="107"/>
      <c r="AS9" s="104"/>
      <c r="AU9" s="44" t="s">
        <v>51</v>
      </c>
      <c r="AV9" s="44" t="s">
        <v>56</v>
      </c>
      <c r="AW9" s="109">
        <v>6.083333333333333</v>
      </c>
      <c r="AX9" s="110">
        <v>5.4432891272160333E-7</v>
      </c>
    </row>
    <row r="10" spans="1:52" x14ac:dyDescent="0.25">
      <c r="D10" t="s">
        <v>68</v>
      </c>
      <c r="F10" t="s">
        <v>69</v>
      </c>
      <c r="AI10" s="112" t="s">
        <v>70</v>
      </c>
      <c r="AJ10" s="47"/>
      <c r="AK10" s="47"/>
      <c r="AL10" s="47"/>
      <c r="AM10" s="47"/>
      <c r="AN10" s="47"/>
      <c r="AO10" s="47"/>
      <c r="AU10" s="112" t="s">
        <v>71</v>
      </c>
      <c r="AV10" s="47"/>
      <c r="AW10" s="47"/>
      <c r="AX10" s="47"/>
      <c r="AY10" s="47"/>
      <c r="AZ10" s="47"/>
    </row>
    <row r="11" spans="1:52" x14ac:dyDescent="0.25">
      <c r="D11" t="s">
        <v>72</v>
      </c>
      <c r="AI11" s="112" t="s">
        <v>73</v>
      </c>
      <c r="AJ11" s="47"/>
      <c r="AK11" s="47"/>
      <c r="AL11" s="47"/>
      <c r="AM11" s="47"/>
      <c r="AN11" s="47"/>
      <c r="AO11" s="47"/>
    </row>
  </sheetData>
  <mergeCells count="32">
    <mergeCell ref="AM2:AM3"/>
    <mergeCell ref="AN2:AN3"/>
    <mergeCell ref="AO2:AO3"/>
    <mergeCell ref="AP2:AP3"/>
    <mergeCell ref="AR2:AR3"/>
    <mergeCell ref="AS2:AS3"/>
    <mergeCell ref="S7:S9"/>
    <mergeCell ref="S2:S3"/>
    <mergeCell ref="AC8:AC9"/>
    <mergeCell ref="AD5:AG6"/>
    <mergeCell ref="AD8:AG9"/>
    <mergeCell ref="AQ2:AQ3"/>
    <mergeCell ref="AI2:AI3"/>
    <mergeCell ref="AJ2:AJ3"/>
    <mergeCell ref="AK2:AK3"/>
    <mergeCell ref="AL2:AL3"/>
    <mergeCell ref="Y2:Y3"/>
    <mergeCell ref="Z2:Z3"/>
    <mergeCell ref="AA2:AA3"/>
    <mergeCell ref="T2:T3"/>
    <mergeCell ref="AC5:AC6"/>
    <mergeCell ref="S4:S6"/>
    <mergeCell ref="Q3:Q4"/>
    <mergeCell ref="M3:M4"/>
    <mergeCell ref="P3:P4"/>
    <mergeCell ref="P5:P7"/>
    <mergeCell ref="AB2:AB3"/>
    <mergeCell ref="AC2:AC4"/>
    <mergeCell ref="U2:U3"/>
    <mergeCell ref="V2:V3"/>
    <mergeCell ref="W2:W3"/>
    <mergeCell ref="X2:X3"/>
  </mergeCell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54162-5D82-4146-9B43-87F297178381}">
  <dimension ref="A1"/>
  <sheetViews>
    <sheetView workbookViewId="0">
      <selection sqref="A1:XFD104857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4C1C-D3EE-4AFC-BBB3-2A48AA4C4C3F}">
  <dimension ref="A1"/>
  <sheetViews>
    <sheetView workbookViewId="0">
      <selection activeCell="H21" sqref="H2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6BAD9-C963-4A5A-9F1B-41288D7D83A4}">
  <dimension ref="A1:I19"/>
  <sheetViews>
    <sheetView workbookViewId="0">
      <selection activeCell="K8" sqref="K8"/>
    </sheetView>
  </sheetViews>
  <sheetFormatPr baseColWidth="10" defaultRowHeight="15" x14ac:dyDescent="0.25"/>
  <cols>
    <col min="1" max="1" width="18.140625" customWidth="1"/>
    <col min="2" max="2" width="17.5703125" customWidth="1"/>
    <col min="5" max="5" width="22.5703125" customWidth="1"/>
    <col min="6" max="6" width="12.7109375" bestFit="1" customWidth="1"/>
    <col min="8" max="8" width="12.7109375" bestFit="1" customWidth="1"/>
  </cols>
  <sheetData>
    <row r="1" spans="1:9" ht="48" customHeight="1" thickBot="1" x14ac:dyDescent="0.3">
      <c r="A1" s="136" t="s">
        <v>83</v>
      </c>
      <c r="B1" s="135" t="s">
        <v>34</v>
      </c>
      <c r="C1" s="135" t="s">
        <v>0</v>
      </c>
      <c r="D1" s="135" t="s">
        <v>40</v>
      </c>
      <c r="E1" s="135" t="s">
        <v>87</v>
      </c>
      <c r="F1" s="135" t="s">
        <v>88</v>
      </c>
      <c r="G1" s="135" t="s">
        <v>63</v>
      </c>
      <c r="H1" s="135" t="s">
        <v>89</v>
      </c>
      <c r="I1" s="134" t="s">
        <v>48</v>
      </c>
    </row>
    <row r="2" spans="1:9" ht="16.5" thickBot="1" x14ac:dyDescent="0.3">
      <c r="A2" s="133">
        <v>9</v>
      </c>
      <c r="B2" s="131" t="s">
        <v>52</v>
      </c>
      <c r="C2" s="131" t="s">
        <v>37</v>
      </c>
      <c r="D2" s="131">
        <v>0.3</v>
      </c>
      <c r="E2" s="131" t="s">
        <v>39</v>
      </c>
      <c r="F2" s="132">
        <v>42259</v>
      </c>
      <c r="G2" s="131">
        <v>13</v>
      </c>
      <c r="H2" s="132">
        <v>42356</v>
      </c>
      <c r="I2" s="131">
        <v>9</v>
      </c>
    </row>
    <row r="3" spans="1:9" ht="16.5" thickBot="1" x14ac:dyDescent="0.3">
      <c r="A3" s="133">
        <v>10</v>
      </c>
      <c r="B3" s="131" t="s">
        <v>44</v>
      </c>
      <c r="C3" s="131" t="s">
        <v>37</v>
      </c>
      <c r="D3" s="131">
        <v>0.3</v>
      </c>
      <c r="E3" s="131" t="s">
        <v>39</v>
      </c>
      <c r="F3" s="132">
        <v>41874</v>
      </c>
      <c r="G3" s="131">
        <v>6</v>
      </c>
      <c r="H3" s="132">
        <v>41944</v>
      </c>
      <c r="I3" s="131">
        <v>2</v>
      </c>
    </row>
    <row r="4" spans="1:9" ht="16.5" thickBot="1" x14ac:dyDescent="0.3">
      <c r="A4" s="133">
        <v>14</v>
      </c>
      <c r="B4" s="131" t="s">
        <v>52</v>
      </c>
      <c r="C4" s="131" t="s">
        <v>37</v>
      </c>
      <c r="D4" s="131">
        <v>0.3</v>
      </c>
      <c r="E4" s="131" t="s">
        <v>39</v>
      </c>
      <c r="F4" s="132">
        <v>42765</v>
      </c>
      <c r="G4" s="131">
        <v>9</v>
      </c>
      <c r="H4" s="132">
        <v>42994</v>
      </c>
      <c r="I4" s="131">
        <v>0</v>
      </c>
    </row>
    <row r="5" spans="1:9" ht="16.5" thickBot="1" x14ac:dyDescent="0.3">
      <c r="A5" s="133">
        <v>18</v>
      </c>
      <c r="B5" s="131" t="s">
        <v>44</v>
      </c>
      <c r="C5" s="131" t="s">
        <v>37</v>
      </c>
      <c r="D5" s="131">
        <v>17.899999999999999</v>
      </c>
      <c r="E5" s="131" t="s">
        <v>39</v>
      </c>
      <c r="F5" s="132">
        <v>43263</v>
      </c>
      <c r="G5" s="131">
        <v>12</v>
      </c>
      <c r="H5" s="132">
        <v>43278</v>
      </c>
      <c r="I5" s="131">
        <v>8</v>
      </c>
    </row>
    <row r="6" spans="1:9" ht="16.5" thickBot="1" x14ac:dyDescent="0.3">
      <c r="A6" s="133">
        <v>20</v>
      </c>
      <c r="B6" s="131" t="s">
        <v>52</v>
      </c>
      <c r="C6" s="131" t="s">
        <v>37</v>
      </c>
      <c r="D6" s="131">
        <v>8.3000000000000007</v>
      </c>
      <c r="E6" s="131" t="s">
        <v>39</v>
      </c>
      <c r="F6" s="132">
        <v>43201</v>
      </c>
      <c r="G6" s="131">
        <v>3</v>
      </c>
      <c r="H6" s="132">
        <v>43326</v>
      </c>
      <c r="I6" s="131">
        <v>0</v>
      </c>
    </row>
    <row r="7" spans="1:9" ht="16.5" thickBot="1" x14ac:dyDescent="0.3">
      <c r="A7" s="133">
        <v>26</v>
      </c>
      <c r="B7" s="131" t="s">
        <v>233</v>
      </c>
      <c r="C7" s="131" t="s">
        <v>35</v>
      </c>
      <c r="D7" s="131">
        <v>0</v>
      </c>
      <c r="E7" s="131" t="s">
        <v>39</v>
      </c>
      <c r="F7" s="132">
        <v>45053</v>
      </c>
      <c r="G7" s="131">
        <v>12</v>
      </c>
      <c r="H7" s="132">
        <v>45124</v>
      </c>
      <c r="I7" s="131">
        <v>2</v>
      </c>
    </row>
    <row r="8" spans="1:9" ht="16.5" thickBot="1" x14ac:dyDescent="0.3">
      <c r="A8" s="133">
        <v>27</v>
      </c>
      <c r="B8" s="131" t="s">
        <v>44</v>
      </c>
      <c r="C8" s="131" t="s">
        <v>35</v>
      </c>
      <c r="D8" s="131">
        <v>0</v>
      </c>
      <c r="E8" s="131" t="s">
        <v>39</v>
      </c>
      <c r="F8" s="132">
        <v>45010</v>
      </c>
      <c r="G8" s="131">
        <v>12</v>
      </c>
      <c r="H8" s="132">
        <v>45141</v>
      </c>
      <c r="I8" s="131">
        <v>3</v>
      </c>
    </row>
    <row r="9" spans="1:9" ht="16.5" thickBot="1" x14ac:dyDescent="0.3">
      <c r="A9" s="133">
        <v>28</v>
      </c>
      <c r="B9" s="131" t="s">
        <v>44</v>
      </c>
      <c r="C9" s="131" t="s">
        <v>37</v>
      </c>
      <c r="D9" s="131">
        <v>0</v>
      </c>
      <c r="E9" s="131" t="s">
        <v>39</v>
      </c>
      <c r="F9" s="132">
        <v>44778</v>
      </c>
      <c r="G9" s="131">
        <v>9</v>
      </c>
      <c r="H9" s="132">
        <v>44848</v>
      </c>
      <c r="I9" s="131">
        <v>5</v>
      </c>
    </row>
    <row r="10" spans="1:9" ht="16.5" thickBot="1" x14ac:dyDescent="0.3">
      <c r="A10" s="133">
        <v>29</v>
      </c>
      <c r="B10" s="131" t="s">
        <v>52</v>
      </c>
      <c r="C10" s="131" t="s">
        <v>35</v>
      </c>
      <c r="D10" s="131">
        <v>0</v>
      </c>
      <c r="E10" s="131" t="s">
        <v>39</v>
      </c>
      <c r="F10" s="132">
        <v>45030</v>
      </c>
      <c r="G10" s="131">
        <v>11</v>
      </c>
      <c r="H10" s="132">
        <v>45151</v>
      </c>
      <c r="I10" s="131">
        <v>3</v>
      </c>
    </row>
    <row r="11" spans="1:9" ht="16.5" thickBot="1" x14ac:dyDescent="0.3">
      <c r="A11" s="133">
        <v>30</v>
      </c>
      <c r="B11" s="131" t="s">
        <v>130</v>
      </c>
      <c r="C11" s="131" t="s">
        <v>35</v>
      </c>
      <c r="D11" s="131">
        <v>0</v>
      </c>
      <c r="E11" s="131" t="s">
        <v>39</v>
      </c>
      <c r="F11" s="132">
        <v>45090</v>
      </c>
      <c r="G11" s="131">
        <v>13</v>
      </c>
      <c r="H11" s="132">
        <v>45140</v>
      </c>
      <c r="I11" s="131">
        <v>4</v>
      </c>
    </row>
    <row r="12" spans="1:9" ht="16.5" thickBot="1" x14ac:dyDescent="0.3">
      <c r="A12" s="133">
        <v>31</v>
      </c>
      <c r="B12" s="131" t="s">
        <v>130</v>
      </c>
      <c r="C12" s="131" t="s">
        <v>35</v>
      </c>
      <c r="D12" s="131">
        <v>0</v>
      </c>
      <c r="E12" s="131" t="s">
        <v>39</v>
      </c>
      <c r="F12" s="132">
        <v>45048</v>
      </c>
      <c r="G12" s="131">
        <v>16</v>
      </c>
      <c r="H12" s="132">
        <v>45139</v>
      </c>
      <c r="I12" s="131">
        <v>4</v>
      </c>
    </row>
    <row r="13" spans="1:9" ht="16.5" thickBot="1" x14ac:dyDescent="0.3">
      <c r="A13" s="133">
        <v>32</v>
      </c>
      <c r="B13" s="131" t="s">
        <v>130</v>
      </c>
      <c r="C13" s="131" t="s">
        <v>35</v>
      </c>
      <c r="D13" s="131">
        <v>0</v>
      </c>
      <c r="E13" s="131" t="s">
        <v>39</v>
      </c>
      <c r="F13" s="132">
        <v>44812</v>
      </c>
      <c r="G13" s="131">
        <v>14</v>
      </c>
      <c r="H13" s="132">
        <v>44863</v>
      </c>
      <c r="I13" s="131">
        <v>3</v>
      </c>
    </row>
    <row r="14" spans="1:9" ht="16.5" thickBot="1" x14ac:dyDescent="0.3">
      <c r="A14" s="133">
        <v>33</v>
      </c>
      <c r="B14" s="131" t="s">
        <v>130</v>
      </c>
      <c r="C14" s="131" t="s">
        <v>37</v>
      </c>
      <c r="D14" s="131">
        <v>0</v>
      </c>
      <c r="E14" s="131" t="s">
        <v>39</v>
      </c>
      <c r="F14" s="132">
        <v>44941</v>
      </c>
      <c r="G14" s="131">
        <v>10</v>
      </c>
      <c r="H14" s="132">
        <v>44988</v>
      </c>
      <c r="I14" s="131">
        <v>2</v>
      </c>
    </row>
    <row r="15" spans="1:9" ht="16.5" thickBot="1" x14ac:dyDescent="0.3">
      <c r="A15" s="133">
        <v>34</v>
      </c>
      <c r="B15" s="131" t="s">
        <v>44</v>
      </c>
      <c r="C15" s="131" t="s">
        <v>35</v>
      </c>
      <c r="D15" s="131">
        <v>0</v>
      </c>
      <c r="E15" s="131" t="s">
        <v>39</v>
      </c>
      <c r="F15" s="132">
        <v>44993</v>
      </c>
      <c r="G15" s="131">
        <v>14</v>
      </c>
      <c r="H15" s="132">
        <v>45046</v>
      </c>
      <c r="I15" s="131">
        <v>2</v>
      </c>
    </row>
    <row r="16" spans="1:9" ht="16.5" thickBot="1" x14ac:dyDescent="0.3">
      <c r="A16" s="133">
        <v>35</v>
      </c>
      <c r="B16" s="131" t="s">
        <v>52</v>
      </c>
      <c r="C16" s="131" t="s">
        <v>35</v>
      </c>
      <c r="D16" s="131">
        <v>0</v>
      </c>
      <c r="E16" s="131" t="s">
        <v>39</v>
      </c>
      <c r="F16" s="132">
        <v>44877</v>
      </c>
      <c r="G16" s="131">
        <v>13</v>
      </c>
      <c r="H16" s="132">
        <v>44923</v>
      </c>
      <c r="I16" s="131">
        <v>3</v>
      </c>
    </row>
    <row r="17" spans="1:9" ht="16.5" thickBot="1" x14ac:dyDescent="0.3">
      <c r="A17" s="133">
        <v>36</v>
      </c>
      <c r="B17" s="131" t="s">
        <v>44</v>
      </c>
      <c r="C17" s="131" t="s">
        <v>37</v>
      </c>
      <c r="D17" s="131">
        <v>4.2</v>
      </c>
      <c r="E17" s="131" t="s">
        <v>39</v>
      </c>
      <c r="F17" s="132">
        <v>45189</v>
      </c>
      <c r="G17" s="131">
        <v>14</v>
      </c>
      <c r="H17" s="132">
        <v>45245</v>
      </c>
      <c r="I17" s="131">
        <v>3</v>
      </c>
    </row>
    <row r="18" spans="1:9" ht="16.5" thickBot="1" x14ac:dyDescent="0.3">
      <c r="A18" s="133">
        <v>37</v>
      </c>
      <c r="B18" s="131" t="s">
        <v>44</v>
      </c>
      <c r="C18" s="131" t="s">
        <v>37</v>
      </c>
      <c r="D18" s="131">
        <v>0.1</v>
      </c>
      <c r="E18" s="131" t="s">
        <v>39</v>
      </c>
      <c r="F18" s="132">
        <v>45201</v>
      </c>
      <c r="G18" s="131">
        <v>12</v>
      </c>
      <c r="H18" s="132">
        <v>45302</v>
      </c>
      <c r="I18" s="131">
        <v>2</v>
      </c>
    </row>
    <row r="19" spans="1:9" ht="16.5" thickBot="1" x14ac:dyDescent="0.3">
      <c r="A19" s="133">
        <v>38</v>
      </c>
      <c r="B19" s="131" t="s">
        <v>52</v>
      </c>
      <c r="C19" s="131" t="s">
        <v>37</v>
      </c>
      <c r="D19" s="131">
        <v>0</v>
      </c>
      <c r="E19" s="131" t="s">
        <v>39</v>
      </c>
      <c r="F19" s="132">
        <v>45140</v>
      </c>
      <c r="G19" s="131">
        <v>16</v>
      </c>
      <c r="H19" s="132">
        <v>45210</v>
      </c>
      <c r="I19" s="131">
        <v>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4150-D457-4853-B840-39E8B098AA6D}">
  <dimension ref="A1"/>
  <sheetViews>
    <sheetView workbookViewId="0">
      <selection activeCell="J16" sqref="J1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14D9C-D399-4590-8621-8558C86467E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3ECC0-51C6-463B-B94F-1AE42504858D}">
  <dimension ref="A1:D3"/>
  <sheetViews>
    <sheetView workbookViewId="0">
      <selection sqref="A1:D3"/>
    </sheetView>
  </sheetViews>
  <sheetFormatPr baseColWidth="10" defaultRowHeight="15" x14ac:dyDescent="0.25"/>
  <cols>
    <col min="1" max="1" width="21.42578125" customWidth="1"/>
  </cols>
  <sheetData>
    <row r="1" spans="1:4" ht="16.5" thickBot="1" x14ac:dyDescent="0.3">
      <c r="A1" s="145" t="s">
        <v>240</v>
      </c>
      <c r="B1" s="144" t="s">
        <v>239</v>
      </c>
      <c r="C1" s="144"/>
      <c r="D1" s="143"/>
    </row>
    <row r="2" spans="1:4" ht="16.5" thickBot="1" x14ac:dyDescent="0.3">
      <c r="A2" s="142" t="s">
        <v>238</v>
      </c>
      <c r="B2" s="141" t="s">
        <v>237</v>
      </c>
      <c r="C2" s="140" t="s">
        <v>236</v>
      </c>
      <c r="D2" s="140" t="s">
        <v>235</v>
      </c>
    </row>
    <row r="3" spans="1:4" ht="16.5" thickBot="1" x14ac:dyDescent="0.3">
      <c r="A3" s="139" t="s">
        <v>234</v>
      </c>
      <c r="B3" s="138">
        <v>24</v>
      </c>
      <c r="C3" s="137"/>
      <c r="D3" s="137"/>
    </row>
  </sheetData>
  <mergeCells count="3">
    <mergeCell ref="B1:D1"/>
    <mergeCell ref="C2:C3"/>
    <mergeCell ref="D2:D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E8FBA-91EF-4BA6-8DB8-7A7F83488F1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C8BF2-4486-46D4-8CA6-D1F81A18CDC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2BEBF-97E4-4255-B63A-F8CE48DC505D}">
  <dimension ref="A1:D3"/>
  <sheetViews>
    <sheetView workbookViewId="0">
      <selection activeCell="E3" sqref="E3"/>
    </sheetView>
  </sheetViews>
  <sheetFormatPr baseColWidth="10" defaultRowHeight="15" x14ac:dyDescent="0.25"/>
  <cols>
    <col min="1" max="1" width="29.7109375" customWidth="1"/>
    <col min="2" max="2" width="26.140625" customWidth="1"/>
  </cols>
  <sheetData>
    <row r="1" spans="1:4" ht="15.75" thickBot="1" x14ac:dyDescent="0.3">
      <c r="A1" s="154" t="s">
        <v>28</v>
      </c>
      <c r="B1" s="153" t="s">
        <v>29</v>
      </c>
      <c r="C1" s="153" t="s">
        <v>30</v>
      </c>
      <c r="D1" s="152" t="s">
        <v>18</v>
      </c>
    </row>
    <row r="2" spans="1:4" ht="16.5" thickBot="1" x14ac:dyDescent="0.3">
      <c r="A2" s="151" t="s">
        <v>43</v>
      </c>
      <c r="B2" s="150" t="s">
        <v>43</v>
      </c>
      <c r="C2" s="150">
        <v>8.4</v>
      </c>
      <c r="D2" s="149">
        <v>0</v>
      </c>
    </row>
    <row r="3" spans="1:4" ht="16.5" thickBot="1" x14ac:dyDescent="0.3">
      <c r="A3" s="148" t="s">
        <v>51</v>
      </c>
      <c r="B3" s="147" t="s">
        <v>56</v>
      </c>
      <c r="C3" s="147">
        <v>6.1</v>
      </c>
      <c r="D3" s="146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A58ED-735C-4FF9-9634-627A6D6DE2B7}">
  <dimension ref="A1:J19"/>
  <sheetViews>
    <sheetView workbookViewId="0">
      <selection activeCell="J12" sqref="J12"/>
    </sheetView>
  </sheetViews>
  <sheetFormatPr baseColWidth="10" defaultRowHeight="15" x14ac:dyDescent="0.25"/>
  <cols>
    <col min="1" max="1" width="17.85546875" customWidth="1"/>
    <col min="2" max="2" width="20.85546875" customWidth="1"/>
    <col min="5" max="5" width="20.7109375" customWidth="1"/>
    <col min="6" max="6" width="12.7109375" bestFit="1" customWidth="1"/>
    <col min="8" max="8" width="12.7109375" bestFit="1" customWidth="1"/>
  </cols>
  <sheetData>
    <row r="1" spans="1:10" ht="39" customHeight="1" thickBot="1" x14ac:dyDescent="0.3">
      <c r="A1" s="159" t="s">
        <v>83</v>
      </c>
      <c r="B1" s="158" t="s">
        <v>34</v>
      </c>
      <c r="C1" s="158" t="s">
        <v>0</v>
      </c>
      <c r="D1" s="158" t="s">
        <v>40</v>
      </c>
      <c r="E1" s="158" t="s">
        <v>87</v>
      </c>
      <c r="F1" s="158" t="s">
        <v>88</v>
      </c>
      <c r="G1" s="158" t="s">
        <v>63</v>
      </c>
      <c r="H1" s="158" t="s">
        <v>89</v>
      </c>
      <c r="I1" s="158" t="s">
        <v>48</v>
      </c>
    </row>
    <row r="2" spans="1:10" ht="17.25" thickTop="1" thickBot="1" x14ac:dyDescent="0.3">
      <c r="A2" s="157">
        <v>9</v>
      </c>
      <c r="B2" s="155" t="s">
        <v>52</v>
      </c>
      <c r="C2" s="155" t="s">
        <v>37</v>
      </c>
      <c r="D2" s="155">
        <v>0.3</v>
      </c>
      <c r="E2" s="155" t="s">
        <v>39</v>
      </c>
      <c r="F2" s="156">
        <v>42259</v>
      </c>
      <c r="G2" s="155">
        <v>13</v>
      </c>
      <c r="H2" s="156">
        <v>42356</v>
      </c>
      <c r="I2" s="155">
        <v>9</v>
      </c>
    </row>
    <row r="3" spans="1:10" ht="16.5" thickBot="1" x14ac:dyDescent="0.3">
      <c r="A3" s="157">
        <v>10</v>
      </c>
      <c r="B3" s="155" t="s">
        <v>44</v>
      </c>
      <c r="C3" s="155" t="s">
        <v>37</v>
      </c>
      <c r="D3" s="155">
        <v>0.3</v>
      </c>
      <c r="E3" s="155" t="s">
        <v>39</v>
      </c>
      <c r="F3" s="156">
        <v>41874</v>
      </c>
      <c r="G3" s="155">
        <v>6</v>
      </c>
      <c r="H3" s="156">
        <v>41944</v>
      </c>
      <c r="I3" s="155">
        <v>2</v>
      </c>
    </row>
    <row r="4" spans="1:10" ht="16.5" thickBot="1" x14ac:dyDescent="0.3">
      <c r="A4" s="157">
        <v>14</v>
      </c>
      <c r="B4" s="155" t="s">
        <v>52</v>
      </c>
      <c r="C4" s="155" t="s">
        <v>37</v>
      </c>
      <c r="D4" s="155">
        <v>0.3</v>
      </c>
      <c r="E4" s="155" t="s">
        <v>39</v>
      </c>
      <c r="F4" s="156">
        <v>42765</v>
      </c>
      <c r="G4" s="155">
        <v>9</v>
      </c>
      <c r="H4" s="156">
        <v>42994</v>
      </c>
      <c r="I4" s="155">
        <v>0</v>
      </c>
    </row>
    <row r="5" spans="1:10" ht="16.5" thickBot="1" x14ac:dyDescent="0.3">
      <c r="A5" s="157">
        <v>18</v>
      </c>
      <c r="B5" s="155" t="s">
        <v>44</v>
      </c>
      <c r="C5" s="155" t="s">
        <v>37</v>
      </c>
      <c r="D5" s="155">
        <v>17.899999999999999</v>
      </c>
      <c r="E5" s="155" t="s">
        <v>39</v>
      </c>
      <c r="F5" s="156">
        <v>43263</v>
      </c>
      <c r="G5" s="155">
        <v>12</v>
      </c>
      <c r="H5" s="156">
        <v>43278</v>
      </c>
      <c r="I5" s="155">
        <v>8</v>
      </c>
    </row>
    <row r="6" spans="1:10" ht="16.5" thickBot="1" x14ac:dyDescent="0.3">
      <c r="A6" s="157">
        <v>20</v>
      </c>
      <c r="B6" s="155" t="s">
        <v>52</v>
      </c>
      <c r="C6" s="155" t="s">
        <v>37</v>
      </c>
      <c r="D6" s="155">
        <v>8.3000000000000007</v>
      </c>
      <c r="E6" s="155" t="s">
        <v>39</v>
      </c>
      <c r="F6" s="156">
        <v>43201</v>
      </c>
      <c r="G6" s="155">
        <v>3</v>
      </c>
      <c r="H6" s="156">
        <v>43326</v>
      </c>
      <c r="I6" s="155">
        <v>0</v>
      </c>
    </row>
    <row r="7" spans="1:10" ht="16.5" thickBot="1" x14ac:dyDescent="0.3">
      <c r="A7" s="157">
        <v>26</v>
      </c>
      <c r="B7" s="155" t="s">
        <v>233</v>
      </c>
      <c r="C7" s="155" t="s">
        <v>35</v>
      </c>
      <c r="D7" s="155">
        <v>0</v>
      </c>
      <c r="E7" s="155" t="s">
        <v>39</v>
      </c>
      <c r="F7" s="156">
        <v>45053</v>
      </c>
      <c r="G7" s="155">
        <v>12</v>
      </c>
      <c r="H7" s="156">
        <v>45124</v>
      </c>
      <c r="I7" s="155">
        <v>2</v>
      </c>
    </row>
    <row r="8" spans="1:10" ht="16.5" thickBot="1" x14ac:dyDescent="0.3">
      <c r="A8" s="157">
        <v>27</v>
      </c>
      <c r="B8" s="155" t="s">
        <v>44</v>
      </c>
      <c r="C8" s="155" t="s">
        <v>35</v>
      </c>
      <c r="D8" s="155">
        <v>0</v>
      </c>
      <c r="E8" s="155" t="s">
        <v>39</v>
      </c>
      <c r="F8" s="156">
        <v>45010</v>
      </c>
      <c r="G8" s="155">
        <v>12</v>
      </c>
      <c r="H8" s="156">
        <v>45141</v>
      </c>
      <c r="I8" s="155">
        <v>3</v>
      </c>
    </row>
    <row r="9" spans="1:10" ht="16.5" thickBot="1" x14ac:dyDescent="0.3">
      <c r="A9" s="157">
        <v>28</v>
      </c>
      <c r="B9" s="155" t="s">
        <v>44</v>
      </c>
      <c r="C9" s="155" t="s">
        <v>37</v>
      </c>
      <c r="D9" s="155">
        <v>0</v>
      </c>
      <c r="E9" s="155" t="s">
        <v>39</v>
      </c>
      <c r="F9" s="156">
        <v>44778</v>
      </c>
      <c r="G9" s="155">
        <v>9</v>
      </c>
      <c r="H9" s="156">
        <v>44848</v>
      </c>
      <c r="I9" s="155">
        <v>5</v>
      </c>
    </row>
    <row r="10" spans="1:10" ht="16.5" thickBot="1" x14ac:dyDescent="0.3">
      <c r="A10" s="157">
        <v>29</v>
      </c>
      <c r="B10" s="155" t="s">
        <v>52</v>
      </c>
      <c r="C10" s="155" t="s">
        <v>35</v>
      </c>
      <c r="D10" s="155">
        <v>0</v>
      </c>
      <c r="E10" s="155" t="s">
        <v>39</v>
      </c>
      <c r="F10" s="156">
        <v>45030</v>
      </c>
      <c r="G10" s="155">
        <v>11</v>
      </c>
      <c r="H10" s="156">
        <v>45151</v>
      </c>
      <c r="I10" s="155">
        <v>3</v>
      </c>
    </row>
    <row r="11" spans="1:10" ht="16.5" thickBot="1" x14ac:dyDescent="0.3">
      <c r="A11" s="157">
        <v>30</v>
      </c>
      <c r="B11" s="155" t="s">
        <v>130</v>
      </c>
      <c r="C11" s="155" t="s">
        <v>35</v>
      </c>
      <c r="D11" s="155">
        <v>0</v>
      </c>
      <c r="E11" s="155" t="s">
        <v>39</v>
      </c>
      <c r="F11" s="156">
        <v>45090</v>
      </c>
      <c r="G11" s="155">
        <v>13</v>
      </c>
      <c r="H11" s="156">
        <v>45140</v>
      </c>
      <c r="I11" s="155">
        <v>4</v>
      </c>
    </row>
    <row r="12" spans="1:10" ht="16.5" thickBot="1" x14ac:dyDescent="0.3">
      <c r="A12" s="157">
        <v>31</v>
      </c>
      <c r="B12" s="155" t="s">
        <v>130</v>
      </c>
      <c r="C12" s="155" t="s">
        <v>35</v>
      </c>
      <c r="D12" s="155">
        <v>0</v>
      </c>
      <c r="E12" s="155" t="s">
        <v>39</v>
      </c>
      <c r="F12" s="156">
        <v>45048</v>
      </c>
      <c r="G12" s="155">
        <v>16</v>
      </c>
      <c r="H12" s="156">
        <v>45139</v>
      </c>
      <c r="I12" s="155">
        <v>4</v>
      </c>
      <c r="J12" s="33"/>
    </row>
    <row r="13" spans="1:10" ht="16.5" thickBot="1" x14ac:dyDescent="0.3">
      <c r="A13" s="157">
        <v>32</v>
      </c>
      <c r="B13" s="155" t="s">
        <v>130</v>
      </c>
      <c r="C13" s="155" t="s">
        <v>35</v>
      </c>
      <c r="D13" s="155">
        <v>0</v>
      </c>
      <c r="E13" s="155" t="s">
        <v>39</v>
      </c>
      <c r="F13" s="156">
        <v>44812</v>
      </c>
      <c r="G13" s="155">
        <v>14</v>
      </c>
      <c r="H13" s="156">
        <v>44863</v>
      </c>
      <c r="I13" s="155">
        <v>3</v>
      </c>
    </row>
    <row r="14" spans="1:10" ht="16.5" thickBot="1" x14ac:dyDescent="0.3">
      <c r="A14" s="157">
        <v>33</v>
      </c>
      <c r="B14" s="155" t="s">
        <v>130</v>
      </c>
      <c r="C14" s="155" t="s">
        <v>37</v>
      </c>
      <c r="D14" s="155">
        <v>0</v>
      </c>
      <c r="E14" s="155" t="s">
        <v>39</v>
      </c>
      <c r="F14" s="156">
        <v>44941</v>
      </c>
      <c r="G14" s="155">
        <v>10</v>
      </c>
      <c r="H14" s="156">
        <v>44988</v>
      </c>
      <c r="I14" s="155">
        <v>2</v>
      </c>
    </row>
    <row r="15" spans="1:10" ht="16.5" thickBot="1" x14ac:dyDescent="0.3">
      <c r="A15" s="157">
        <v>34</v>
      </c>
      <c r="B15" s="155" t="s">
        <v>44</v>
      </c>
      <c r="C15" s="155" t="s">
        <v>35</v>
      </c>
      <c r="D15" s="155">
        <v>0</v>
      </c>
      <c r="E15" s="155" t="s">
        <v>39</v>
      </c>
      <c r="F15" s="156">
        <v>44993</v>
      </c>
      <c r="G15" s="155">
        <v>14</v>
      </c>
      <c r="H15" s="156">
        <v>45046</v>
      </c>
      <c r="I15" s="155">
        <v>2</v>
      </c>
    </row>
    <row r="16" spans="1:10" ht="16.5" thickBot="1" x14ac:dyDescent="0.3">
      <c r="A16" s="157">
        <v>35</v>
      </c>
      <c r="B16" s="155" t="s">
        <v>52</v>
      </c>
      <c r="C16" s="155" t="s">
        <v>35</v>
      </c>
      <c r="D16" s="155">
        <v>0</v>
      </c>
      <c r="E16" s="155" t="s">
        <v>39</v>
      </c>
      <c r="F16" s="156">
        <v>44877</v>
      </c>
      <c r="G16" s="155">
        <v>13</v>
      </c>
      <c r="H16" s="156">
        <v>44923</v>
      </c>
      <c r="I16" s="155">
        <v>3</v>
      </c>
    </row>
    <row r="17" spans="1:9" ht="16.5" thickBot="1" x14ac:dyDescent="0.3">
      <c r="A17" s="157">
        <v>36</v>
      </c>
      <c r="B17" s="155" t="s">
        <v>44</v>
      </c>
      <c r="C17" s="155" t="s">
        <v>37</v>
      </c>
      <c r="D17" s="155">
        <v>4.2</v>
      </c>
      <c r="E17" s="155" t="s">
        <v>39</v>
      </c>
      <c r="F17" s="156">
        <v>45189</v>
      </c>
      <c r="G17" s="155">
        <v>14</v>
      </c>
      <c r="H17" s="156">
        <v>45245</v>
      </c>
      <c r="I17" s="155">
        <v>3</v>
      </c>
    </row>
    <row r="18" spans="1:9" ht="16.5" thickBot="1" x14ac:dyDescent="0.3">
      <c r="A18" s="157">
        <v>37</v>
      </c>
      <c r="B18" s="155" t="s">
        <v>44</v>
      </c>
      <c r="C18" s="155" t="s">
        <v>37</v>
      </c>
      <c r="D18" s="155">
        <v>0.1</v>
      </c>
      <c r="E18" s="155" t="s">
        <v>39</v>
      </c>
      <c r="F18" s="156">
        <v>45201</v>
      </c>
      <c r="G18" s="155">
        <v>12</v>
      </c>
      <c r="H18" s="156">
        <v>45302</v>
      </c>
      <c r="I18" s="155">
        <v>2</v>
      </c>
    </row>
    <row r="19" spans="1:9" ht="16.5" thickBot="1" x14ac:dyDescent="0.3">
      <c r="A19" s="157">
        <v>38</v>
      </c>
      <c r="B19" s="155" t="s">
        <v>52</v>
      </c>
      <c r="C19" s="155" t="s">
        <v>37</v>
      </c>
      <c r="D19" s="155">
        <v>0</v>
      </c>
      <c r="E19" s="155" t="s">
        <v>39</v>
      </c>
      <c r="F19" s="156">
        <v>45140</v>
      </c>
      <c r="G19" s="155">
        <v>16</v>
      </c>
      <c r="H19" s="156">
        <v>45210</v>
      </c>
      <c r="I19" s="155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5F855-0383-4A15-A9B5-9AF2B5893B67}">
  <dimension ref="A1:B15"/>
  <sheetViews>
    <sheetView zoomScale="71" zoomScaleNormal="71" workbookViewId="0">
      <selection activeCell="A15" sqref="A15"/>
    </sheetView>
  </sheetViews>
  <sheetFormatPr baseColWidth="10" defaultColWidth="11.42578125" defaultRowHeight="15" x14ac:dyDescent="0.25"/>
  <cols>
    <col min="1" max="1" width="75.5703125" customWidth="1"/>
  </cols>
  <sheetData>
    <row r="1" spans="1:2" ht="15.75" x14ac:dyDescent="0.25">
      <c r="A1" s="1" t="s">
        <v>74</v>
      </c>
    </row>
    <row r="2" spans="1:2" x14ac:dyDescent="0.25">
      <c r="A2" s="2"/>
    </row>
    <row r="3" spans="1:2" ht="78.75" x14ac:dyDescent="0.25">
      <c r="A3" s="3" t="s">
        <v>75</v>
      </c>
    </row>
    <row r="4" spans="1:2" x14ac:dyDescent="0.25">
      <c r="A4" s="2"/>
    </row>
    <row r="5" spans="1:2" ht="15.75" x14ac:dyDescent="0.25">
      <c r="A5" s="3" t="s">
        <v>76</v>
      </c>
      <c r="B5" s="4"/>
    </row>
    <row r="6" spans="1:2" ht="15.75" x14ac:dyDescent="0.25">
      <c r="A6" s="5"/>
      <c r="B6" s="4"/>
    </row>
    <row r="7" spans="1:2" x14ac:dyDescent="0.25">
      <c r="A7" s="6"/>
      <c r="B7" s="4"/>
    </row>
    <row r="8" spans="1:2" ht="15.75" x14ac:dyDescent="0.25">
      <c r="A8" s="7"/>
      <c r="B8" s="4"/>
    </row>
    <row r="9" spans="1:2" ht="47.25" x14ac:dyDescent="0.25">
      <c r="A9" s="3" t="s">
        <v>77</v>
      </c>
      <c r="B9" s="8"/>
    </row>
    <row r="10" spans="1:2" ht="47.25" x14ac:dyDescent="0.25">
      <c r="A10" s="3" t="s">
        <v>78</v>
      </c>
      <c r="B10" s="8"/>
    </row>
    <row r="11" spans="1:2" ht="15.75" x14ac:dyDescent="0.25">
      <c r="A11" s="8"/>
      <c r="B11" s="8"/>
    </row>
    <row r="12" spans="1:2" ht="31.5" x14ac:dyDescent="0.25">
      <c r="A12" s="3" t="s">
        <v>79</v>
      </c>
      <c r="B12" s="8"/>
    </row>
    <row r="13" spans="1:2" ht="31.5" x14ac:dyDescent="0.25">
      <c r="A13" s="10" t="s">
        <v>80</v>
      </c>
      <c r="B13" s="8"/>
    </row>
    <row r="14" spans="1:2" ht="15.75" x14ac:dyDescent="0.25">
      <c r="A14" s="9"/>
      <c r="B14" s="9"/>
    </row>
    <row r="15" spans="1:2" x14ac:dyDescent="0.25">
      <c r="A15" s="4" t="s">
        <v>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5BEB-770F-4DE4-928E-5E35AC491339}">
  <dimension ref="A1:D3"/>
  <sheetViews>
    <sheetView workbookViewId="0">
      <selection activeCell="L21" sqref="L21"/>
    </sheetView>
  </sheetViews>
  <sheetFormatPr baseColWidth="10" defaultRowHeight="15" x14ac:dyDescent="0.25"/>
  <cols>
    <col min="1" max="1" width="19.140625" customWidth="1"/>
  </cols>
  <sheetData>
    <row r="1" spans="1:4" ht="15.75" thickBot="1" x14ac:dyDescent="0.3">
      <c r="A1" s="169" t="s">
        <v>243</v>
      </c>
      <c r="B1" s="168" t="s">
        <v>242</v>
      </c>
      <c r="C1" s="167"/>
      <c r="D1" s="166"/>
    </row>
    <row r="2" spans="1:4" ht="15.75" thickBot="1" x14ac:dyDescent="0.3">
      <c r="A2" s="163" t="s">
        <v>39</v>
      </c>
      <c r="B2" s="162">
        <v>18</v>
      </c>
      <c r="C2" s="165">
        <v>4</v>
      </c>
      <c r="D2" s="164" t="s">
        <v>241</v>
      </c>
    </row>
    <row r="3" spans="1:4" ht="15.75" thickBot="1" x14ac:dyDescent="0.3">
      <c r="A3" s="163" t="s">
        <v>60</v>
      </c>
      <c r="B3" s="162">
        <v>24</v>
      </c>
      <c r="C3" s="161"/>
      <c r="D3" s="160"/>
    </row>
  </sheetData>
  <mergeCells count="3">
    <mergeCell ref="B1:D1"/>
    <mergeCell ref="C2:C3"/>
    <mergeCell ref="D2: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A77B-A118-4540-B244-BD383DD81AE9}">
  <dimension ref="A1:I25"/>
  <sheetViews>
    <sheetView workbookViewId="0">
      <selection activeCell="J3" sqref="J3"/>
    </sheetView>
  </sheetViews>
  <sheetFormatPr baseColWidth="10" defaultRowHeight="15" x14ac:dyDescent="0.25"/>
  <cols>
    <col min="1" max="1" width="14.7109375" customWidth="1"/>
    <col min="2" max="2" width="20" customWidth="1"/>
    <col min="5" max="5" width="28.28515625" customWidth="1"/>
    <col min="6" max="6" width="12.7109375" bestFit="1" customWidth="1"/>
    <col min="8" max="8" width="12.7109375" bestFit="1" customWidth="1"/>
  </cols>
  <sheetData>
    <row r="1" spans="1:9" ht="36" customHeight="1" thickBot="1" x14ac:dyDescent="0.3">
      <c r="A1" s="159" t="s">
        <v>83</v>
      </c>
      <c r="B1" s="158" t="s">
        <v>34</v>
      </c>
      <c r="C1" s="158" t="s">
        <v>0</v>
      </c>
      <c r="D1" s="158" t="s">
        <v>40</v>
      </c>
      <c r="E1" s="158" t="s">
        <v>168</v>
      </c>
      <c r="F1" s="158" t="s">
        <v>88</v>
      </c>
      <c r="G1" s="158" t="s">
        <v>63</v>
      </c>
      <c r="H1" s="158" t="s">
        <v>89</v>
      </c>
      <c r="I1" s="158" t="s">
        <v>48</v>
      </c>
    </row>
    <row r="2" spans="1:9" ht="17.25" thickTop="1" thickBot="1" x14ac:dyDescent="0.3">
      <c r="A2" s="157">
        <v>1</v>
      </c>
      <c r="B2" s="155" t="s">
        <v>52</v>
      </c>
      <c r="C2" s="155" t="s">
        <v>37</v>
      </c>
      <c r="D2" s="155">
        <v>2</v>
      </c>
      <c r="E2" s="155" t="s">
        <v>60</v>
      </c>
      <c r="F2" s="156">
        <v>41676</v>
      </c>
      <c r="G2" s="155">
        <v>7</v>
      </c>
      <c r="H2" s="156">
        <v>42698</v>
      </c>
      <c r="I2" s="155">
        <v>0</v>
      </c>
    </row>
    <row r="3" spans="1:9" ht="16.5" thickBot="1" x14ac:dyDescent="0.3">
      <c r="A3" s="157">
        <v>2</v>
      </c>
      <c r="B3" s="155" t="s">
        <v>52</v>
      </c>
      <c r="C3" s="155" t="s">
        <v>37</v>
      </c>
      <c r="D3" s="155">
        <v>25.3</v>
      </c>
      <c r="E3" s="155" t="s">
        <v>60</v>
      </c>
      <c r="F3" s="156">
        <v>41620</v>
      </c>
      <c r="G3" s="155">
        <v>9</v>
      </c>
      <c r="H3" s="156">
        <v>42639</v>
      </c>
      <c r="I3" s="155">
        <v>0</v>
      </c>
    </row>
    <row r="4" spans="1:9" ht="16.5" thickBot="1" x14ac:dyDescent="0.3">
      <c r="A4" s="157">
        <v>3</v>
      </c>
      <c r="B4" s="155" t="s">
        <v>44</v>
      </c>
      <c r="C4" s="155" t="s">
        <v>37</v>
      </c>
      <c r="D4" s="155">
        <v>17.3</v>
      </c>
      <c r="E4" s="155" t="s">
        <v>60</v>
      </c>
      <c r="F4" s="156">
        <v>41351</v>
      </c>
      <c r="G4" s="155">
        <v>11</v>
      </c>
      <c r="H4" s="156">
        <v>42695</v>
      </c>
      <c r="I4" s="155">
        <v>0</v>
      </c>
    </row>
    <row r="5" spans="1:9" ht="16.5" thickBot="1" x14ac:dyDescent="0.3">
      <c r="A5" s="157">
        <v>4</v>
      </c>
      <c r="B5" s="155" t="s">
        <v>52</v>
      </c>
      <c r="C5" s="155" t="s">
        <v>35</v>
      </c>
      <c r="D5" s="155">
        <v>16.8</v>
      </c>
      <c r="E5" s="155" t="s">
        <v>60</v>
      </c>
      <c r="F5" s="156">
        <v>41884</v>
      </c>
      <c r="G5" s="155">
        <v>12</v>
      </c>
      <c r="H5" s="156">
        <v>42415</v>
      </c>
      <c r="I5" s="155">
        <v>0</v>
      </c>
    </row>
    <row r="6" spans="1:9" ht="16.5" thickBot="1" x14ac:dyDescent="0.3">
      <c r="A6" s="157">
        <v>5</v>
      </c>
      <c r="B6" s="155" t="s">
        <v>44</v>
      </c>
      <c r="C6" s="155" t="s">
        <v>35</v>
      </c>
      <c r="D6" s="155">
        <v>15.2</v>
      </c>
      <c r="E6" s="155" t="s">
        <v>60</v>
      </c>
      <c r="F6" s="156">
        <v>42051</v>
      </c>
      <c r="G6" s="155">
        <v>7</v>
      </c>
      <c r="H6" s="156">
        <v>42695</v>
      </c>
      <c r="I6" s="155">
        <v>0</v>
      </c>
    </row>
    <row r="7" spans="1:9" ht="16.5" thickBot="1" x14ac:dyDescent="0.3">
      <c r="A7" s="157">
        <v>6</v>
      </c>
      <c r="B7" s="155" t="s">
        <v>44</v>
      </c>
      <c r="C7" s="155" t="s">
        <v>37</v>
      </c>
      <c r="D7" s="155">
        <v>14.2</v>
      </c>
      <c r="E7" s="155" t="s">
        <v>60</v>
      </c>
      <c r="F7" s="156">
        <v>41317</v>
      </c>
      <c r="G7" s="155">
        <v>10</v>
      </c>
      <c r="H7" s="156">
        <v>42416</v>
      </c>
      <c r="I7" s="155">
        <v>0</v>
      </c>
    </row>
    <row r="8" spans="1:9" ht="16.5" thickBot="1" x14ac:dyDescent="0.3">
      <c r="A8" s="157">
        <v>7</v>
      </c>
      <c r="B8" s="155" t="s">
        <v>44</v>
      </c>
      <c r="C8" s="155" t="s">
        <v>37</v>
      </c>
      <c r="D8" s="155">
        <v>22.8</v>
      </c>
      <c r="E8" s="155" t="s">
        <v>60</v>
      </c>
      <c r="F8" s="156">
        <v>41610</v>
      </c>
      <c r="G8" s="155">
        <v>8</v>
      </c>
      <c r="H8" s="156">
        <v>42661</v>
      </c>
      <c r="I8" s="155">
        <v>0</v>
      </c>
    </row>
    <row r="9" spans="1:9" ht="16.5" thickBot="1" x14ac:dyDescent="0.3">
      <c r="A9" s="157">
        <v>8</v>
      </c>
      <c r="B9" s="155" t="s">
        <v>52</v>
      </c>
      <c r="C9" s="155" t="s">
        <v>37</v>
      </c>
      <c r="D9" s="155">
        <v>20.399999999999999</v>
      </c>
      <c r="E9" s="155" t="s">
        <v>60</v>
      </c>
      <c r="F9" s="156">
        <v>41345</v>
      </c>
      <c r="G9" s="155">
        <v>13</v>
      </c>
      <c r="H9" s="156">
        <v>42716</v>
      </c>
      <c r="I9" s="155">
        <v>0</v>
      </c>
    </row>
    <row r="10" spans="1:9" ht="16.5" thickBot="1" x14ac:dyDescent="0.3">
      <c r="A10" s="157">
        <v>11</v>
      </c>
      <c r="B10" s="155" t="s">
        <v>52</v>
      </c>
      <c r="C10" s="155" t="s">
        <v>37</v>
      </c>
      <c r="D10" s="155">
        <v>10.5</v>
      </c>
      <c r="E10" s="155" t="s">
        <v>60</v>
      </c>
      <c r="F10" s="156">
        <v>42424</v>
      </c>
      <c r="G10" s="155">
        <v>4</v>
      </c>
      <c r="H10" s="156">
        <v>43998</v>
      </c>
      <c r="I10" s="155">
        <v>0</v>
      </c>
    </row>
    <row r="11" spans="1:9" ht="16.5" thickBot="1" x14ac:dyDescent="0.3">
      <c r="A11" s="157">
        <v>12</v>
      </c>
      <c r="B11" s="155" t="s">
        <v>52</v>
      </c>
      <c r="C11" s="155" t="s">
        <v>35</v>
      </c>
      <c r="D11" s="155">
        <v>30</v>
      </c>
      <c r="E11" s="155" t="s">
        <v>60</v>
      </c>
      <c r="F11" s="156">
        <v>42507</v>
      </c>
      <c r="G11" s="155">
        <v>4</v>
      </c>
      <c r="H11" s="156">
        <v>42790</v>
      </c>
      <c r="I11" s="155">
        <v>0</v>
      </c>
    </row>
    <row r="12" spans="1:9" ht="16.5" thickBot="1" x14ac:dyDescent="0.3">
      <c r="A12" s="157">
        <v>13</v>
      </c>
      <c r="B12" s="155" t="s">
        <v>52</v>
      </c>
      <c r="C12" s="155" t="s">
        <v>35</v>
      </c>
      <c r="D12" s="155">
        <v>15.3</v>
      </c>
      <c r="E12" s="155" t="s">
        <v>60</v>
      </c>
      <c r="F12" s="156">
        <v>43071</v>
      </c>
      <c r="G12" s="155">
        <v>9</v>
      </c>
      <c r="H12" s="156">
        <v>43299</v>
      </c>
      <c r="I12" s="155">
        <v>0</v>
      </c>
    </row>
    <row r="13" spans="1:9" ht="16.5" thickBot="1" x14ac:dyDescent="0.3">
      <c r="A13" s="157">
        <v>15</v>
      </c>
      <c r="B13" s="155" t="s">
        <v>52</v>
      </c>
      <c r="C13" s="155" t="s">
        <v>37</v>
      </c>
      <c r="D13" s="155">
        <v>10.9</v>
      </c>
      <c r="E13" s="155" t="s">
        <v>60</v>
      </c>
      <c r="F13" s="156">
        <v>42845</v>
      </c>
      <c r="G13" s="155">
        <v>5</v>
      </c>
      <c r="H13" s="156">
        <v>43199</v>
      </c>
      <c r="I13" s="155">
        <v>0</v>
      </c>
    </row>
    <row r="14" spans="1:9" ht="16.5" thickBot="1" x14ac:dyDescent="0.3">
      <c r="A14" s="157">
        <v>16</v>
      </c>
      <c r="B14" s="155" t="s">
        <v>52</v>
      </c>
      <c r="C14" s="155" t="s">
        <v>37</v>
      </c>
      <c r="D14" s="155">
        <v>175.5</v>
      </c>
      <c r="E14" s="155" t="s">
        <v>60</v>
      </c>
      <c r="F14" s="156">
        <v>43779</v>
      </c>
      <c r="G14" s="155">
        <v>6</v>
      </c>
      <c r="H14" s="156">
        <v>43998</v>
      </c>
      <c r="I14" s="155">
        <v>0</v>
      </c>
    </row>
    <row r="15" spans="1:9" ht="16.5" thickBot="1" x14ac:dyDescent="0.3">
      <c r="A15" s="157">
        <v>17</v>
      </c>
      <c r="B15" s="155" t="s">
        <v>44</v>
      </c>
      <c r="C15" s="155" t="s">
        <v>35</v>
      </c>
      <c r="D15" s="155">
        <v>46</v>
      </c>
      <c r="E15" s="155" t="s">
        <v>60</v>
      </c>
      <c r="F15" s="156">
        <v>43772</v>
      </c>
      <c r="G15" s="155">
        <v>10</v>
      </c>
      <c r="H15" s="156">
        <v>44000</v>
      </c>
      <c r="I15" s="155">
        <v>0</v>
      </c>
    </row>
    <row r="16" spans="1:9" ht="16.5" thickBot="1" x14ac:dyDescent="0.3">
      <c r="A16" s="157">
        <v>19</v>
      </c>
      <c r="B16" s="155" t="s">
        <v>44</v>
      </c>
      <c r="C16" s="155" t="s">
        <v>37</v>
      </c>
      <c r="D16" s="155">
        <v>15.9</v>
      </c>
      <c r="E16" s="155" t="s">
        <v>60</v>
      </c>
      <c r="F16" s="156">
        <v>43472</v>
      </c>
      <c r="G16" s="155">
        <v>7</v>
      </c>
      <c r="H16" s="156">
        <v>43881</v>
      </c>
      <c r="I16" s="155">
        <v>0</v>
      </c>
    </row>
    <row r="17" spans="1:9" ht="16.5" thickBot="1" x14ac:dyDescent="0.3">
      <c r="A17" s="157">
        <v>20</v>
      </c>
      <c r="B17" s="155" t="s">
        <v>52</v>
      </c>
      <c r="C17" s="155" t="s">
        <v>37</v>
      </c>
      <c r="D17" s="155">
        <v>14</v>
      </c>
      <c r="E17" s="155" t="s">
        <v>60</v>
      </c>
      <c r="F17" s="156">
        <v>43798</v>
      </c>
      <c r="G17" s="155">
        <v>2</v>
      </c>
      <c r="H17" s="156">
        <v>43875</v>
      </c>
      <c r="I17" s="155">
        <v>0</v>
      </c>
    </row>
    <row r="18" spans="1:9" ht="16.5" thickBot="1" x14ac:dyDescent="0.3">
      <c r="A18" s="157">
        <v>21</v>
      </c>
      <c r="B18" s="155" t="s">
        <v>52</v>
      </c>
      <c r="C18" s="155" t="s">
        <v>37</v>
      </c>
      <c r="D18" s="155">
        <v>13.3</v>
      </c>
      <c r="E18" s="155" t="s">
        <v>60</v>
      </c>
      <c r="F18" s="156">
        <v>43787</v>
      </c>
      <c r="G18" s="155">
        <v>2</v>
      </c>
      <c r="H18" s="156">
        <v>43909</v>
      </c>
      <c r="I18" s="155">
        <v>0</v>
      </c>
    </row>
    <row r="19" spans="1:9" ht="16.5" thickBot="1" x14ac:dyDescent="0.3">
      <c r="A19" s="157">
        <v>22</v>
      </c>
      <c r="B19" s="155" t="s">
        <v>52</v>
      </c>
      <c r="C19" s="155" t="s">
        <v>35</v>
      </c>
      <c r="D19" s="155">
        <v>21</v>
      </c>
      <c r="E19" s="155" t="s">
        <v>60</v>
      </c>
      <c r="F19" s="156">
        <v>43917</v>
      </c>
      <c r="G19" s="155">
        <v>1</v>
      </c>
      <c r="H19" s="156">
        <v>44166</v>
      </c>
      <c r="I19" s="155">
        <v>0</v>
      </c>
    </row>
    <row r="20" spans="1:9" ht="16.5" thickBot="1" x14ac:dyDescent="0.3">
      <c r="A20" s="157">
        <v>23</v>
      </c>
      <c r="B20" s="155" t="s">
        <v>44</v>
      </c>
      <c r="C20" s="155" t="s">
        <v>37</v>
      </c>
      <c r="D20" s="155">
        <v>32.200000000000003</v>
      </c>
      <c r="E20" s="155" t="s">
        <v>60</v>
      </c>
      <c r="F20" s="156">
        <v>43739</v>
      </c>
      <c r="G20" s="155">
        <v>13</v>
      </c>
      <c r="H20" s="156">
        <v>44180</v>
      </c>
      <c r="I20" s="155">
        <v>0</v>
      </c>
    </row>
    <row r="21" spans="1:9" ht="16.5" thickBot="1" x14ac:dyDescent="0.3">
      <c r="A21" s="157">
        <v>24</v>
      </c>
      <c r="B21" s="155" t="s">
        <v>52</v>
      </c>
      <c r="C21" s="155" t="s">
        <v>35</v>
      </c>
      <c r="D21" s="155">
        <v>15.8</v>
      </c>
      <c r="E21" s="155" t="s">
        <v>60</v>
      </c>
      <c r="F21" s="156">
        <v>43810</v>
      </c>
      <c r="G21" s="155">
        <v>3</v>
      </c>
      <c r="H21" s="156">
        <v>43951</v>
      </c>
      <c r="I21" s="155">
        <v>0</v>
      </c>
    </row>
    <row r="22" spans="1:9" ht="16.5" thickBot="1" x14ac:dyDescent="0.3">
      <c r="A22" s="157">
        <v>25</v>
      </c>
      <c r="B22" s="155" t="s">
        <v>52</v>
      </c>
      <c r="C22" s="155" t="s">
        <v>37</v>
      </c>
      <c r="D22" s="155">
        <v>11.3</v>
      </c>
      <c r="E22" s="155" t="s">
        <v>60</v>
      </c>
      <c r="F22" s="156">
        <v>45274</v>
      </c>
      <c r="G22" s="155">
        <v>3</v>
      </c>
      <c r="H22" s="156">
        <v>44951</v>
      </c>
      <c r="I22" s="155">
        <v>2</v>
      </c>
    </row>
    <row r="23" spans="1:9" ht="16.5" thickBot="1" x14ac:dyDescent="0.3">
      <c r="A23" s="157">
        <v>36</v>
      </c>
      <c r="B23" s="155" t="s">
        <v>44</v>
      </c>
      <c r="C23" s="155" t="s">
        <v>37</v>
      </c>
      <c r="D23" s="155">
        <v>8.6</v>
      </c>
      <c r="E23" s="155" t="s">
        <v>60</v>
      </c>
      <c r="F23" s="156">
        <v>45303</v>
      </c>
      <c r="G23" s="155">
        <v>2</v>
      </c>
      <c r="H23" s="156">
        <v>45332</v>
      </c>
      <c r="I23" s="155">
        <v>2</v>
      </c>
    </row>
    <row r="24" spans="1:9" ht="16.5" thickBot="1" x14ac:dyDescent="0.3">
      <c r="A24" s="157">
        <v>37</v>
      </c>
      <c r="B24" s="155" t="s">
        <v>44</v>
      </c>
      <c r="C24" s="155" t="s">
        <v>37</v>
      </c>
      <c r="D24" s="155">
        <v>7.3</v>
      </c>
      <c r="E24" s="155" t="s">
        <v>60</v>
      </c>
      <c r="F24" s="156">
        <v>45228</v>
      </c>
      <c r="G24" s="155">
        <v>2</v>
      </c>
      <c r="H24" s="156">
        <v>45279</v>
      </c>
      <c r="I24" s="155">
        <v>1</v>
      </c>
    </row>
    <row r="25" spans="1:9" ht="16.5" thickBot="1" x14ac:dyDescent="0.3">
      <c r="A25" s="157">
        <v>38</v>
      </c>
      <c r="B25" s="155" t="s">
        <v>52</v>
      </c>
      <c r="C25" s="155" t="s">
        <v>37</v>
      </c>
      <c r="D25" s="155">
        <v>7.3</v>
      </c>
      <c r="E25" s="155" t="s">
        <v>60</v>
      </c>
      <c r="F25" s="170">
        <v>45228</v>
      </c>
      <c r="G25" s="155">
        <v>2</v>
      </c>
      <c r="H25" s="170">
        <v>45279</v>
      </c>
      <c r="I25" s="155">
        <v>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30B15-E309-427D-9A8F-DF8E17D84086}">
  <dimension ref="A1:F25"/>
  <sheetViews>
    <sheetView workbookViewId="0">
      <selection activeCell="C1" sqref="C1:C1048576"/>
    </sheetView>
  </sheetViews>
  <sheetFormatPr baseColWidth="10" defaultRowHeight="15" x14ac:dyDescent="0.25"/>
  <cols>
    <col min="1" max="1" width="17.85546875" customWidth="1"/>
    <col min="2" max="2" width="17.28515625" customWidth="1"/>
    <col min="4" max="4" width="25.5703125" customWidth="1"/>
    <col min="5" max="5" width="17.85546875" customWidth="1"/>
    <col min="6" max="6" width="23.5703125" customWidth="1"/>
  </cols>
  <sheetData>
    <row r="1" spans="1:6" ht="58.5" customHeight="1" thickBot="1" x14ac:dyDescent="0.3">
      <c r="A1" s="159" t="s">
        <v>83</v>
      </c>
      <c r="B1" s="158" t="s">
        <v>34</v>
      </c>
      <c r="C1" s="158" t="s">
        <v>0</v>
      </c>
      <c r="D1" s="158" t="s">
        <v>168</v>
      </c>
      <c r="E1" s="158" t="s">
        <v>171</v>
      </c>
      <c r="F1" s="158" t="s">
        <v>172</v>
      </c>
    </row>
    <row r="2" spans="1:6" ht="17.25" thickTop="1" thickBot="1" x14ac:dyDescent="0.3">
      <c r="A2" s="171">
        <v>1</v>
      </c>
      <c r="B2" s="155" t="s">
        <v>52</v>
      </c>
      <c r="C2" s="155" t="s">
        <v>37</v>
      </c>
      <c r="D2" s="155" t="s">
        <v>60</v>
      </c>
      <c r="E2" s="155" t="s">
        <v>174</v>
      </c>
      <c r="F2" s="155" t="s">
        <v>174</v>
      </c>
    </row>
    <row r="3" spans="1:6" ht="16.5" thickBot="1" x14ac:dyDescent="0.3">
      <c r="A3" s="171">
        <v>2</v>
      </c>
      <c r="B3" s="155" t="s">
        <v>52</v>
      </c>
      <c r="C3" s="155" t="s">
        <v>37</v>
      </c>
      <c r="D3" s="155" t="s">
        <v>60</v>
      </c>
      <c r="E3" s="155" t="s">
        <v>174</v>
      </c>
      <c r="F3" s="155" t="s">
        <v>174</v>
      </c>
    </row>
    <row r="4" spans="1:6" ht="16.5" thickBot="1" x14ac:dyDescent="0.3">
      <c r="A4" s="171">
        <v>3</v>
      </c>
      <c r="B4" s="155" t="s">
        <v>44</v>
      </c>
      <c r="C4" s="155" t="s">
        <v>37</v>
      </c>
      <c r="D4" s="155" t="s">
        <v>60</v>
      </c>
      <c r="E4" s="155" t="s">
        <v>174</v>
      </c>
      <c r="F4" s="155" t="s">
        <v>174</v>
      </c>
    </row>
    <row r="5" spans="1:6" ht="16.5" thickBot="1" x14ac:dyDescent="0.3">
      <c r="A5" s="171">
        <v>4</v>
      </c>
      <c r="B5" s="155" t="s">
        <v>52</v>
      </c>
      <c r="C5" s="155" t="s">
        <v>35</v>
      </c>
      <c r="D5" s="155" t="s">
        <v>60</v>
      </c>
      <c r="E5" s="155" t="s">
        <v>174</v>
      </c>
      <c r="F5" s="155" t="s">
        <v>174</v>
      </c>
    </row>
    <row r="6" spans="1:6" ht="16.5" thickBot="1" x14ac:dyDescent="0.3">
      <c r="A6" s="171">
        <v>5</v>
      </c>
      <c r="B6" s="155" t="s">
        <v>44</v>
      </c>
      <c r="C6" s="155" t="s">
        <v>35</v>
      </c>
      <c r="D6" s="155" t="s">
        <v>60</v>
      </c>
      <c r="E6" s="155" t="s">
        <v>174</v>
      </c>
      <c r="F6" s="155" t="s">
        <v>174</v>
      </c>
    </row>
    <row r="7" spans="1:6" ht="16.5" thickBot="1" x14ac:dyDescent="0.3">
      <c r="A7" s="171">
        <v>6</v>
      </c>
      <c r="B7" s="155" t="s">
        <v>44</v>
      </c>
      <c r="C7" s="155" t="s">
        <v>37</v>
      </c>
      <c r="D7" s="155" t="s">
        <v>60</v>
      </c>
      <c r="E7" s="155" t="s">
        <v>174</v>
      </c>
      <c r="F7" s="155" t="s">
        <v>174</v>
      </c>
    </row>
    <row r="8" spans="1:6" ht="16.5" thickBot="1" x14ac:dyDescent="0.3">
      <c r="A8" s="171">
        <v>7</v>
      </c>
      <c r="B8" s="155" t="s">
        <v>44</v>
      </c>
      <c r="C8" s="155" t="s">
        <v>37</v>
      </c>
      <c r="D8" s="155" t="s">
        <v>60</v>
      </c>
      <c r="E8" s="155" t="s">
        <v>174</v>
      </c>
      <c r="F8" s="155" t="s">
        <v>174</v>
      </c>
    </row>
    <row r="9" spans="1:6" ht="16.5" thickBot="1" x14ac:dyDescent="0.3">
      <c r="A9" s="171">
        <v>8</v>
      </c>
      <c r="B9" s="155" t="s">
        <v>52</v>
      </c>
      <c r="C9" s="155" t="s">
        <v>37</v>
      </c>
      <c r="D9" s="155" t="s">
        <v>60</v>
      </c>
      <c r="E9" s="155" t="s">
        <v>174</v>
      </c>
      <c r="F9" s="155" t="s">
        <v>174</v>
      </c>
    </row>
    <row r="10" spans="1:6" ht="16.5" thickBot="1" x14ac:dyDescent="0.3">
      <c r="A10" s="171">
        <v>11</v>
      </c>
      <c r="B10" s="155" t="s">
        <v>52</v>
      </c>
      <c r="C10" s="155" t="s">
        <v>37</v>
      </c>
      <c r="D10" s="155" t="s">
        <v>60</v>
      </c>
      <c r="E10" s="155" t="s">
        <v>174</v>
      </c>
      <c r="F10" s="155" t="s">
        <v>174</v>
      </c>
    </row>
    <row r="11" spans="1:6" ht="16.5" thickBot="1" x14ac:dyDescent="0.3">
      <c r="A11" s="171">
        <v>12</v>
      </c>
      <c r="B11" s="155" t="s">
        <v>52</v>
      </c>
      <c r="C11" s="155" t="s">
        <v>35</v>
      </c>
      <c r="D11" s="155" t="s">
        <v>60</v>
      </c>
      <c r="E11" s="155" t="s">
        <v>174</v>
      </c>
      <c r="F11" s="155" t="s">
        <v>174</v>
      </c>
    </row>
    <row r="12" spans="1:6" ht="16.5" thickBot="1" x14ac:dyDescent="0.3">
      <c r="A12" s="171">
        <v>13</v>
      </c>
      <c r="B12" s="155" t="s">
        <v>52</v>
      </c>
      <c r="C12" s="155" t="s">
        <v>35</v>
      </c>
      <c r="D12" s="155" t="s">
        <v>60</v>
      </c>
      <c r="E12" s="155" t="s">
        <v>174</v>
      </c>
      <c r="F12" s="155" t="s">
        <v>174</v>
      </c>
    </row>
    <row r="13" spans="1:6" ht="16.5" thickBot="1" x14ac:dyDescent="0.3">
      <c r="A13" s="171">
        <v>15</v>
      </c>
      <c r="B13" s="155" t="s">
        <v>52</v>
      </c>
      <c r="C13" s="155" t="s">
        <v>37</v>
      </c>
      <c r="D13" s="155" t="s">
        <v>60</v>
      </c>
      <c r="E13" s="155" t="s">
        <v>174</v>
      </c>
      <c r="F13" s="155" t="s">
        <v>174</v>
      </c>
    </row>
    <row r="14" spans="1:6" ht="16.5" thickBot="1" x14ac:dyDescent="0.3">
      <c r="A14" s="171">
        <v>16</v>
      </c>
      <c r="B14" s="155" t="s">
        <v>52</v>
      </c>
      <c r="C14" s="155" t="s">
        <v>37</v>
      </c>
      <c r="D14" s="155" t="s">
        <v>60</v>
      </c>
      <c r="E14" s="155" t="s">
        <v>174</v>
      </c>
      <c r="F14" s="155" t="s">
        <v>174</v>
      </c>
    </row>
    <row r="15" spans="1:6" ht="16.5" thickBot="1" x14ac:dyDescent="0.3">
      <c r="A15" s="171">
        <v>17</v>
      </c>
      <c r="B15" s="155" t="s">
        <v>44</v>
      </c>
      <c r="C15" s="155" t="s">
        <v>35</v>
      </c>
      <c r="D15" s="155" t="s">
        <v>60</v>
      </c>
      <c r="E15" s="155" t="s">
        <v>174</v>
      </c>
      <c r="F15" s="155" t="s">
        <v>174</v>
      </c>
    </row>
    <row r="16" spans="1:6" ht="16.5" thickBot="1" x14ac:dyDescent="0.3">
      <c r="A16" s="171">
        <v>19</v>
      </c>
      <c r="B16" s="155" t="s">
        <v>44</v>
      </c>
      <c r="C16" s="155" t="s">
        <v>37</v>
      </c>
      <c r="D16" s="155" t="s">
        <v>60</v>
      </c>
      <c r="E16" s="155" t="s">
        <v>174</v>
      </c>
      <c r="F16" s="155" t="s">
        <v>174</v>
      </c>
    </row>
    <row r="17" spans="1:6" ht="16.5" thickBot="1" x14ac:dyDescent="0.3">
      <c r="A17" s="171">
        <v>20</v>
      </c>
      <c r="B17" s="155" t="s">
        <v>52</v>
      </c>
      <c r="C17" s="155" t="s">
        <v>37</v>
      </c>
      <c r="D17" s="155" t="s">
        <v>60</v>
      </c>
      <c r="E17" s="155" t="s">
        <v>174</v>
      </c>
      <c r="F17" s="155" t="s">
        <v>174</v>
      </c>
    </row>
    <row r="18" spans="1:6" ht="16.5" thickBot="1" x14ac:dyDescent="0.3">
      <c r="A18" s="171">
        <v>21</v>
      </c>
      <c r="B18" s="155" t="s">
        <v>52</v>
      </c>
      <c r="C18" s="155" t="s">
        <v>37</v>
      </c>
      <c r="D18" s="155" t="s">
        <v>60</v>
      </c>
      <c r="E18" s="155" t="s">
        <v>174</v>
      </c>
      <c r="F18" s="155" t="s">
        <v>174</v>
      </c>
    </row>
    <row r="19" spans="1:6" ht="16.5" thickBot="1" x14ac:dyDescent="0.3">
      <c r="A19" s="171">
        <v>22</v>
      </c>
      <c r="B19" s="155" t="s">
        <v>52</v>
      </c>
      <c r="C19" s="155" t="s">
        <v>35</v>
      </c>
      <c r="D19" s="155" t="s">
        <v>60</v>
      </c>
      <c r="E19" s="155" t="s">
        <v>174</v>
      </c>
      <c r="F19" s="155" t="s">
        <v>174</v>
      </c>
    </row>
    <row r="20" spans="1:6" ht="16.5" thickBot="1" x14ac:dyDescent="0.3">
      <c r="A20" s="171">
        <v>23</v>
      </c>
      <c r="B20" s="155" t="s">
        <v>44</v>
      </c>
      <c r="C20" s="155" t="s">
        <v>37</v>
      </c>
      <c r="D20" s="155" t="s">
        <v>60</v>
      </c>
      <c r="E20" s="155" t="s">
        <v>174</v>
      </c>
      <c r="F20" s="155" t="s">
        <v>174</v>
      </c>
    </row>
    <row r="21" spans="1:6" ht="16.5" thickBot="1" x14ac:dyDescent="0.3">
      <c r="A21" s="171">
        <v>24</v>
      </c>
      <c r="B21" s="155" t="s">
        <v>52</v>
      </c>
      <c r="C21" s="155" t="s">
        <v>35</v>
      </c>
      <c r="D21" s="155" t="s">
        <v>60</v>
      </c>
      <c r="E21" s="155" t="s">
        <v>174</v>
      </c>
      <c r="F21" s="155" t="s">
        <v>174</v>
      </c>
    </row>
    <row r="22" spans="1:6" ht="16.5" thickBot="1" x14ac:dyDescent="0.3">
      <c r="A22" s="171">
        <v>25</v>
      </c>
      <c r="B22" s="155" t="s">
        <v>52</v>
      </c>
      <c r="C22" s="155" t="s">
        <v>37</v>
      </c>
      <c r="D22" s="155" t="s">
        <v>60</v>
      </c>
      <c r="E22" s="155" t="s">
        <v>174</v>
      </c>
      <c r="F22" s="155" t="s">
        <v>174</v>
      </c>
    </row>
    <row r="23" spans="1:6" ht="16.5" thickBot="1" x14ac:dyDescent="0.3">
      <c r="A23" s="171">
        <v>36</v>
      </c>
      <c r="B23" s="155" t="s">
        <v>44</v>
      </c>
      <c r="C23" s="155" t="s">
        <v>37</v>
      </c>
      <c r="D23" s="155" t="s">
        <v>60</v>
      </c>
      <c r="E23" s="155" t="s">
        <v>174</v>
      </c>
      <c r="F23" s="155" t="s">
        <v>174</v>
      </c>
    </row>
    <row r="24" spans="1:6" ht="16.5" thickBot="1" x14ac:dyDescent="0.3">
      <c r="A24" s="171">
        <v>37</v>
      </c>
      <c r="B24" s="155" t="s">
        <v>44</v>
      </c>
      <c r="C24" s="155" t="s">
        <v>37</v>
      </c>
      <c r="D24" s="155" t="s">
        <v>60</v>
      </c>
      <c r="E24" s="155" t="s">
        <v>174</v>
      </c>
      <c r="F24" s="155" t="s">
        <v>174</v>
      </c>
    </row>
    <row r="25" spans="1:6" ht="16.5" thickBot="1" x14ac:dyDescent="0.3">
      <c r="A25" s="171">
        <v>38</v>
      </c>
      <c r="B25" s="155" t="s">
        <v>52</v>
      </c>
      <c r="C25" s="155" t="s">
        <v>37</v>
      </c>
      <c r="D25" s="155" t="s">
        <v>60</v>
      </c>
      <c r="E25" s="155" t="s">
        <v>174</v>
      </c>
      <c r="F25" s="155" t="s">
        <v>174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D42F-684E-435F-83D9-17458998CC85}">
  <dimension ref="A1"/>
  <sheetViews>
    <sheetView workbookViewId="0">
      <selection activeCell="I9" sqref="I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AF967-4DF2-4159-AF2D-88EFBB3EABB3}">
  <dimension ref="A1"/>
  <sheetViews>
    <sheetView workbookViewId="0">
      <selection activeCell="F10" sqref="F1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6ACE-CF73-48F6-AFEC-BB8A4BC206F7}">
  <dimension ref="A1:D3"/>
  <sheetViews>
    <sheetView tabSelected="1" workbookViewId="0">
      <selection activeCell="C6" sqref="C6"/>
    </sheetView>
  </sheetViews>
  <sheetFormatPr baseColWidth="10" defaultRowHeight="15" x14ac:dyDescent="0.25"/>
  <cols>
    <col min="1" max="1" width="24.28515625" customWidth="1"/>
    <col min="2" max="2" width="22.85546875" customWidth="1"/>
  </cols>
  <sheetData>
    <row r="1" spans="1:4" ht="15.75" thickBot="1" x14ac:dyDescent="0.3">
      <c r="A1" s="154" t="s">
        <v>28</v>
      </c>
      <c r="B1" s="153" t="s">
        <v>29</v>
      </c>
      <c r="C1" s="153" t="s">
        <v>30</v>
      </c>
      <c r="D1" s="152" t="s">
        <v>18</v>
      </c>
    </row>
    <row r="2" spans="1:4" ht="32.25" thickBot="1" x14ac:dyDescent="0.3">
      <c r="A2" s="151" t="s">
        <v>43</v>
      </c>
      <c r="B2" s="150" t="s">
        <v>43</v>
      </c>
      <c r="C2" s="150">
        <v>8.4</v>
      </c>
      <c r="D2" s="149">
        <v>0</v>
      </c>
    </row>
    <row r="3" spans="1:4" ht="32.25" thickBot="1" x14ac:dyDescent="0.3">
      <c r="A3" s="173" t="s">
        <v>51</v>
      </c>
      <c r="B3" s="172" t="s">
        <v>56</v>
      </c>
      <c r="C3" s="172">
        <v>6.1</v>
      </c>
      <c r="D3" s="14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DB61-010F-4687-8676-DC18AE42674B}">
  <dimension ref="A2:AT36"/>
  <sheetViews>
    <sheetView topLeftCell="J1" zoomScale="80" zoomScaleNormal="80" workbookViewId="0">
      <selection activeCell="T3" sqref="T3:V22"/>
    </sheetView>
  </sheetViews>
  <sheetFormatPr baseColWidth="10" defaultColWidth="11.42578125" defaultRowHeight="15" x14ac:dyDescent="0.25"/>
  <cols>
    <col min="1" max="1" width="12.5703125" bestFit="1" customWidth="1"/>
    <col min="2" max="2" width="30.5703125" bestFit="1" customWidth="1"/>
    <col min="5" max="5" width="22.42578125" bestFit="1" customWidth="1"/>
    <col min="6" max="6" width="0" hidden="1" customWidth="1"/>
    <col min="8" max="8" width="30.42578125" style="33" bestFit="1" customWidth="1"/>
    <col min="10" max="10" width="15.42578125" bestFit="1" customWidth="1"/>
    <col min="11" max="11" width="11.28515625" bestFit="1" customWidth="1"/>
    <col min="12" max="12" width="15.42578125" bestFit="1" customWidth="1"/>
    <col min="19" max="19" width="20.7109375" bestFit="1" customWidth="1"/>
  </cols>
  <sheetData>
    <row r="2" spans="1:46" ht="18.75" x14ac:dyDescent="0.3">
      <c r="A2" s="130" t="s">
        <v>82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spans="1:46" ht="18.75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U3" t="s">
        <v>39</v>
      </c>
      <c r="V3" t="s">
        <v>39</v>
      </c>
    </row>
    <row r="4" spans="1:46" x14ac:dyDescent="0.25">
      <c r="A4" s="34" t="s">
        <v>83</v>
      </c>
      <c r="B4" s="34" t="s">
        <v>84</v>
      </c>
      <c r="C4" s="34" t="s">
        <v>34</v>
      </c>
      <c r="D4" s="34" t="s">
        <v>0</v>
      </c>
      <c r="E4" s="31" t="s">
        <v>85</v>
      </c>
      <c r="F4" s="32" t="s">
        <v>86</v>
      </c>
      <c r="G4" s="32" t="s">
        <v>40</v>
      </c>
      <c r="H4" s="31" t="s">
        <v>87</v>
      </c>
      <c r="I4" s="31" t="s">
        <v>88</v>
      </c>
      <c r="J4" s="32" t="s">
        <v>48</v>
      </c>
      <c r="K4" s="31" t="s">
        <v>89</v>
      </c>
      <c r="L4" s="32" t="s">
        <v>48</v>
      </c>
      <c r="T4" s="32" t="s">
        <v>40</v>
      </c>
      <c r="U4" s="32" t="s">
        <v>48</v>
      </c>
      <c r="V4" s="32" t="s">
        <v>48</v>
      </c>
      <c r="X4" t="s">
        <v>90</v>
      </c>
      <c r="AC4" t="s">
        <v>91</v>
      </c>
    </row>
    <row r="5" spans="1:46" x14ac:dyDescent="0.25">
      <c r="A5" s="35">
        <v>9</v>
      </c>
      <c r="B5" s="36" t="s">
        <v>92</v>
      </c>
      <c r="C5" s="35" t="s">
        <v>52</v>
      </c>
      <c r="D5" s="35" t="s">
        <v>37</v>
      </c>
      <c r="E5" s="37">
        <v>42256</v>
      </c>
      <c r="F5" s="38">
        <v>3</v>
      </c>
      <c r="G5" s="39">
        <f>+(I5-E5)/12</f>
        <v>0.25</v>
      </c>
      <c r="H5" s="37" t="s">
        <v>39</v>
      </c>
      <c r="I5" s="37">
        <v>42259</v>
      </c>
      <c r="J5" s="38">
        <v>13</v>
      </c>
      <c r="K5" s="37">
        <v>42356</v>
      </c>
      <c r="L5" s="38">
        <v>9</v>
      </c>
      <c r="T5" s="39">
        <v>0.25</v>
      </c>
      <c r="U5" s="38">
        <v>13</v>
      </c>
      <c r="V5" s="38">
        <v>9</v>
      </c>
      <c r="AH5" t="s">
        <v>93</v>
      </c>
      <c r="AR5" t="s">
        <v>94</v>
      </c>
    </row>
    <row r="6" spans="1:46" x14ac:dyDescent="0.25">
      <c r="A6" s="35">
        <v>10</v>
      </c>
      <c r="B6" s="36" t="s">
        <v>95</v>
      </c>
      <c r="C6" s="35" t="s">
        <v>44</v>
      </c>
      <c r="D6" s="35" t="s">
        <v>37</v>
      </c>
      <c r="E6" s="37">
        <v>41871</v>
      </c>
      <c r="F6" s="38">
        <v>3</v>
      </c>
      <c r="G6" s="39">
        <f t="shared" ref="G6:G8" si="0">+(I6-E6)/12</f>
        <v>0.25</v>
      </c>
      <c r="H6" s="37" t="s">
        <v>39</v>
      </c>
      <c r="I6" s="37">
        <v>41874</v>
      </c>
      <c r="J6" s="38">
        <v>6</v>
      </c>
      <c r="K6" s="37">
        <v>41944</v>
      </c>
      <c r="L6" s="38">
        <v>2</v>
      </c>
      <c r="T6" s="39">
        <v>0.25</v>
      </c>
      <c r="U6" s="38">
        <v>6</v>
      </c>
      <c r="V6" s="38">
        <v>2</v>
      </c>
      <c r="X6" s="74"/>
      <c r="Y6" s="75" t="str">
        <f>T4</f>
        <v>EDAD (MESES)</v>
      </c>
      <c r="Z6" s="75" t="str">
        <f t="shared" ref="Z6:AA6" si="1">U4</f>
        <v>FISURA  (mm) T2</v>
      </c>
      <c r="AA6" s="75" t="str">
        <f t="shared" si="1"/>
        <v>FISURA  (mm) T2</v>
      </c>
      <c r="AC6" s="74"/>
      <c r="AD6" s="75" t="str">
        <f>T4</f>
        <v>EDAD (MESES)</v>
      </c>
      <c r="AE6" s="75" t="str">
        <f t="shared" ref="AE6:AF6" si="2">U4</f>
        <v>FISURA  (mm) T2</v>
      </c>
      <c r="AF6" s="75" t="str">
        <f t="shared" si="2"/>
        <v>FISURA  (mm) T2</v>
      </c>
    </row>
    <row r="7" spans="1:46" ht="15.75" thickBot="1" x14ac:dyDescent="0.3">
      <c r="A7" s="35">
        <v>14</v>
      </c>
      <c r="B7" s="36" t="s">
        <v>96</v>
      </c>
      <c r="C7" s="35" t="s">
        <v>52</v>
      </c>
      <c r="D7" s="35" t="s">
        <v>37</v>
      </c>
      <c r="E7" s="37">
        <v>42761</v>
      </c>
      <c r="F7" s="38">
        <v>4</v>
      </c>
      <c r="G7" s="39">
        <f t="shared" si="0"/>
        <v>0.33333333333333331</v>
      </c>
      <c r="H7" s="37" t="s">
        <v>39</v>
      </c>
      <c r="I7" s="37">
        <v>42765</v>
      </c>
      <c r="J7" s="38">
        <v>9</v>
      </c>
      <c r="K7" s="37">
        <v>42994</v>
      </c>
      <c r="L7" s="38">
        <v>0</v>
      </c>
      <c r="T7" s="39">
        <v>0.33333333333333331</v>
      </c>
      <c r="U7" s="38">
        <v>9</v>
      </c>
      <c r="V7" s="38">
        <v>0</v>
      </c>
      <c r="X7" t="s">
        <v>9</v>
      </c>
      <c r="Y7" s="61">
        <f>AVERAGE(T5:T22)</f>
        <v>1.7407407407407409</v>
      </c>
      <c r="Z7" s="61">
        <f t="shared" ref="Z7:AA7" si="3">AVERAGE(U5:U22)</f>
        <v>11.611111111111111</v>
      </c>
      <c r="AA7" s="61">
        <f t="shared" si="3"/>
        <v>3.1666666666666665</v>
      </c>
      <c r="AC7" t="s">
        <v>97</v>
      </c>
      <c r="AD7">
        <f>[1]!SHAPIRO(T5:T22)</f>
        <v>0.45428078852891962</v>
      </c>
      <c r="AE7">
        <f>[1]!SHAPIRO(U5:U22)</f>
        <v>0.90349319397612571</v>
      </c>
      <c r="AF7">
        <f>[1]!SHAPIRO(V5:V22)</f>
        <v>0.84467602438966627</v>
      </c>
      <c r="AH7" t="s">
        <v>98</v>
      </c>
      <c r="AK7" t="s">
        <v>99</v>
      </c>
      <c r="AL7">
        <v>0.05</v>
      </c>
      <c r="AN7" t="s">
        <v>100</v>
      </c>
      <c r="AO7">
        <v>0</v>
      </c>
      <c r="AS7" s="76" t="str">
        <f>U4</f>
        <v>FISURA  (mm) T2</v>
      </c>
      <c r="AT7" s="76" t="str">
        <f>V4</f>
        <v>FISURA  (mm) T2</v>
      </c>
    </row>
    <row r="8" spans="1:46" ht="15.75" thickTop="1" x14ac:dyDescent="0.25">
      <c r="A8" s="35">
        <v>18</v>
      </c>
      <c r="B8" s="40" t="s">
        <v>101</v>
      </c>
      <c r="C8" s="35" t="s">
        <v>44</v>
      </c>
      <c r="D8" s="35" t="s">
        <v>37</v>
      </c>
      <c r="E8" s="37">
        <v>43048</v>
      </c>
      <c r="F8" s="38">
        <v>215</v>
      </c>
      <c r="G8" s="39">
        <f t="shared" si="0"/>
        <v>17.916666666666668</v>
      </c>
      <c r="H8" s="37" t="s">
        <v>39</v>
      </c>
      <c r="I8" s="37">
        <v>43263</v>
      </c>
      <c r="J8" s="38">
        <v>12</v>
      </c>
      <c r="K8" s="37">
        <v>43278</v>
      </c>
      <c r="L8" s="38">
        <v>8</v>
      </c>
      <c r="T8" s="39">
        <v>17.916666666666668</v>
      </c>
      <c r="U8" s="38">
        <v>12</v>
      </c>
      <c r="V8" s="38">
        <v>8</v>
      </c>
      <c r="X8" t="s">
        <v>10</v>
      </c>
      <c r="Y8">
        <f>_xlfn.STDEV.S(T5:T22)/SQRT(COUNT(T5:T22))</f>
        <v>1.0748344540096324</v>
      </c>
      <c r="Z8">
        <f t="shared" ref="Z8:AA8" si="4">_xlfn.STDEV.S(U5:U22)/SQRT(COUNT(U5:U22))</f>
        <v>0.77602510272419511</v>
      </c>
      <c r="AA8">
        <f t="shared" si="4"/>
        <v>0.54383051954347705</v>
      </c>
      <c r="AC8" t="s">
        <v>18</v>
      </c>
      <c r="AD8">
        <f>[1]!SWTEST(T5:T22)</f>
        <v>3.2949568096185544E-7</v>
      </c>
      <c r="AE8">
        <f>[1]!SWTEST(U5:U22)</f>
        <v>6.6121888652526106E-2</v>
      </c>
      <c r="AF8">
        <f>[1]!SWTEST(V5:V22)</f>
        <v>6.9880841294743812E-3</v>
      </c>
      <c r="AH8" s="79" t="s">
        <v>102</v>
      </c>
      <c r="AI8" s="79" t="s">
        <v>103</v>
      </c>
      <c r="AJ8" s="79" t="s">
        <v>9</v>
      </c>
      <c r="AK8" s="79" t="s">
        <v>104</v>
      </c>
      <c r="AL8" s="79" t="s">
        <v>105</v>
      </c>
      <c r="AM8" s="79" t="s">
        <v>106</v>
      </c>
      <c r="AN8" s="79" t="s">
        <v>107</v>
      </c>
      <c r="AO8" s="79" t="s">
        <v>108</v>
      </c>
      <c r="AP8" s="79" t="s">
        <v>109</v>
      </c>
      <c r="AR8" t="s">
        <v>110</v>
      </c>
      <c r="AS8" s="81">
        <f>MEDIAN(U5:U22)</f>
        <v>12</v>
      </c>
      <c r="AT8" s="82">
        <f>MEDIAN(V5:V22)</f>
        <v>3</v>
      </c>
    </row>
    <row r="9" spans="1:46" x14ac:dyDescent="0.25">
      <c r="A9" s="35">
        <v>20</v>
      </c>
      <c r="B9" s="40" t="s">
        <v>111</v>
      </c>
      <c r="C9" s="35" t="s">
        <v>52</v>
      </c>
      <c r="D9" s="35" t="s">
        <v>37</v>
      </c>
      <c r="E9" s="37">
        <v>43301</v>
      </c>
      <c r="F9" s="38">
        <v>-100</v>
      </c>
      <c r="G9" s="39">
        <f>+(E9-I9)/12</f>
        <v>8.3333333333333339</v>
      </c>
      <c r="H9" s="37" t="s">
        <v>39</v>
      </c>
      <c r="I9" s="37">
        <v>43201</v>
      </c>
      <c r="J9" s="38">
        <v>3</v>
      </c>
      <c r="K9" s="37">
        <v>43326</v>
      </c>
      <c r="L9" s="38">
        <v>0</v>
      </c>
      <c r="T9" s="39">
        <v>8.3333333333333339</v>
      </c>
      <c r="U9" s="38">
        <v>3</v>
      </c>
      <c r="V9" s="38">
        <v>0</v>
      </c>
      <c r="X9" t="s">
        <v>11</v>
      </c>
      <c r="Y9" s="61">
        <f>MEDIAN(T5:T22)</f>
        <v>0</v>
      </c>
      <c r="Z9" s="61">
        <f t="shared" ref="Z9:AA9" si="5">MEDIAN(U5:U22)</f>
        <v>12</v>
      </c>
      <c r="AA9" s="61">
        <f t="shared" si="5"/>
        <v>3</v>
      </c>
      <c r="AC9" t="s">
        <v>112</v>
      </c>
      <c r="AD9">
        <v>0.05</v>
      </c>
      <c r="AE9">
        <v>0.05</v>
      </c>
      <c r="AF9">
        <v>0.05</v>
      </c>
      <c r="AH9" s="76" t="str">
        <f>U4</f>
        <v>FISURA  (mm) T2</v>
      </c>
      <c r="AI9">
        <f>COUNT(U5:U22)</f>
        <v>18</v>
      </c>
      <c r="AJ9" s="76">
        <f>AVERAGE(U5:U22)</f>
        <v>11.611111111111111</v>
      </c>
      <c r="AK9">
        <f>_xlfn.STDEV.S(U5:U22)</f>
        <v>3.2923956750435925</v>
      </c>
    </row>
    <row r="10" spans="1:46" x14ac:dyDescent="0.25">
      <c r="A10" s="35">
        <v>26</v>
      </c>
      <c r="B10" s="36" t="s">
        <v>113</v>
      </c>
      <c r="C10" s="35" t="s">
        <v>31</v>
      </c>
      <c r="D10" s="35" t="s">
        <v>35</v>
      </c>
      <c r="E10" s="41">
        <v>45053</v>
      </c>
      <c r="F10" s="30">
        <f t="shared" ref="F10:F22" si="6">I10-E10</f>
        <v>0</v>
      </c>
      <c r="G10" s="39">
        <f>+(I10-E10)/12</f>
        <v>0</v>
      </c>
      <c r="H10" s="37" t="s">
        <v>39</v>
      </c>
      <c r="I10" s="41">
        <v>45053</v>
      </c>
      <c r="J10" s="38">
        <v>12</v>
      </c>
      <c r="K10" s="37">
        <v>45124</v>
      </c>
      <c r="L10" s="38">
        <v>2</v>
      </c>
      <c r="T10" s="39">
        <v>0</v>
      </c>
      <c r="U10" s="38">
        <v>12</v>
      </c>
      <c r="V10" s="38">
        <v>2</v>
      </c>
      <c r="X10" t="s">
        <v>114</v>
      </c>
      <c r="Y10">
        <f>MODE(T5:T22)</f>
        <v>0</v>
      </c>
      <c r="Z10">
        <f t="shared" ref="Z10:AA10" si="7">MODE(U5:U22)</f>
        <v>12</v>
      </c>
      <c r="AA10">
        <f t="shared" si="7"/>
        <v>2</v>
      </c>
      <c r="AC10" s="73" t="s">
        <v>115</v>
      </c>
      <c r="AD10" s="77" t="str">
        <f>IF(AD8&lt;AD9,"no","yes")</f>
        <v>no</v>
      </c>
      <c r="AE10" s="77" t="str">
        <f t="shared" ref="AE10:AF10" si="8">IF(AE8&lt;AE9,"no","yes")</f>
        <v>yes</v>
      </c>
      <c r="AF10" s="77" t="str">
        <f t="shared" si="8"/>
        <v>no</v>
      </c>
      <c r="AH10" s="76" t="str">
        <f>V4</f>
        <v>FISURA  (mm) T2</v>
      </c>
      <c r="AI10">
        <f>COUNT(V5:V22)</f>
        <v>18</v>
      </c>
      <c r="AJ10" s="76">
        <f>AVERAGE(V5:V22)</f>
        <v>3.1666666666666665</v>
      </c>
      <c r="AK10">
        <f>_xlfn.STDEV.S(V5:V22)</f>
        <v>2.3072774891123751</v>
      </c>
      <c r="AR10" t="s">
        <v>116</v>
      </c>
      <c r="AS10" s="62">
        <f>SUMPRODUCT(--ISNUMBER(U5:U22),--ISNUMBER(V5:V22))</f>
        <v>18</v>
      </c>
    </row>
    <row r="11" spans="1:46" x14ac:dyDescent="0.25">
      <c r="A11" s="35">
        <v>27</v>
      </c>
      <c r="B11" s="36" t="s">
        <v>117</v>
      </c>
      <c r="C11" s="35" t="s">
        <v>44</v>
      </c>
      <c r="D11" s="35" t="s">
        <v>35</v>
      </c>
      <c r="E11" s="41">
        <v>45010</v>
      </c>
      <c r="F11" s="30">
        <f t="shared" si="6"/>
        <v>0</v>
      </c>
      <c r="G11" s="39">
        <f t="shared" ref="G11:G22" si="9">+(I11-E11)/12</f>
        <v>0</v>
      </c>
      <c r="H11" s="37" t="s">
        <v>39</v>
      </c>
      <c r="I11" s="41">
        <v>45010</v>
      </c>
      <c r="J11" s="38">
        <v>12</v>
      </c>
      <c r="K11" s="37">
        <v>45141</v>
      </c>
      <c r="L11" s="38">
        <v>3</v>
      </c>
      <c r="T11" s="39">
        <v>0</v>
      </c>
      <c r="U11" s="38">
        <v>12</v>
      </c>
      <c r="V11" s="38">
        <v>3</v>
      </c>
      <c r="X11" t="s">
        <v>118</v>
      </c>
      <c r="Y11">
        <f>_xlfn.STDEV.S(T5:T22)</f>
        <v>4.5601363864989084</v>
      </c>
      <c r="Z11">
        <f t="shared" ref="Z11:AA11" si="10">_xlfn.STDEV.S(U5:U22)</f>
        <v>3.2923956750435925</v>
      </c>
      <c r="AA11">
        <f t="shared" si="10"/>
        <v>2.3072774891123751</v>
      </c>
      <c r="AH11" s="78" t="s">
        <v>119</v>
      </c>
      <c r="AI11" s="78">
        <f>AI10</f>
        <v>18</v>
      </c>
      <c r="AJ11" s="80">
        <f>AJ9-AJ10</f>
        <v>8.4444444444444446</v>
      </c>
      <c r="AK11" s="78">
        <f t="array" ref="AK11">_xlfn.STDEV.S(U5:U22-V5:V22)</f>
        <v>3.3116944698202313</v>
      </c>
      <c r="AL11" s="78">
        <f>AK11/SQRT(AI11)</f>
        <v>0.78057387227595798</v>
      </c>
      <c r="AM11" s="78">
        <f>(AJ9-AJ10-AO7)/AL11</f>
        <v>10.818251474165487</v>
      </c>
      <c r="AN11" s="78">
        <f>AI11-1</f>
        <v>17</v>
      </c>
      <c r="AO11" s="78">
        <f>ABS(AJ9-AJ10-AO7)/AK11</f>
        <v>2.5498863259879267</v>
      </c>
      <c r="AP11" s="78">
        <f>SQRT(AM11^2/(AM11^2+AN11))</f>
        <v>0.93443407718020222</v>
      </c>
      <c r="AR11" t="s">
        <v>120</v>
      </c>
      <c r="AS11" s="63">
        <f>SUMPRODUCT(--ISNUMBER(U5:U22),--ISNUMBER(V5:V22),--(U5:U22&lt;&gt;V5:V22))</f>
        <v>18</v>
      </c>
    </row>
    <row r="12" spans="1:46" x14ac:dyDescent="0.25">
      <c r="A12" s="35">
        <v>28</v>
      </c>
      <c r="B12" s="36" t="s">
        <v>121</v>
      </c>
      <c r="C12" s="35" t="s">
        <v>44</v>
      </c>
      <c r="D12" s="35" t="s">
        <v>37</v>
      </c>
      <c r="E12" s="41">
        <v>44778</v>
      </c>
      <c r="F12" s="30">
        <f t="shared" si="6"/>
        <v>0</v>
      </c>
      <c r="G12" s="39">
        <f t="shared" si="9"/>
        <v>0</v>
      </c>
      <c r="H12" s="37" t="s">
        <v>39</v>
      </c>
      <c r="I12" s="41">
        <v>44778</v>
      </c>
      <c r="J12" s="38">
        <v>9</v>
      </c>
      <c r="K12" s="37">
        <v>44848</v>
      </c>
      <c r="L12" s="38">
        <v>5</v>
      </c>
      <c r="T12" s="39">
        <v>0</v>
      </c>
      <c r="U12" s="38">
        <v>9</v>
      </c>
      <c r="V12" s="38">
        <v>5</v>
      </c>
      <c r="X12" t="s">
        <v>122</v>
      </c>
      <c r="Y12">
        <f>_xlfn.VAR.S(T5:T22)</f>
        <v>20.794843863471321</v>
      </c>
      <c r="Z12">
        <f t="shared" ref="Z12:AA12" si="11">_xlfn.VAR.S(U5:U22)</f>
        <v>10.839869281045754</v>
      </c>
      <c r="AA12">
        <f t="shared" si="11"/>
        <v>5.3235294117647056</v>
      </c>
      <c r="AC12" t="s">
        <v>123</v>
      </c>
      <c r="AR12" t="s">
        <v>124</v>
      </c>
      <c r="AS12" s="63">
        <f>IF(AS14&lt;=AS17,AS14,AS11*(AS11+1)/2)</f>
        <v>0</v>
      </c>
    </row>
    <row r="13" spans="1:46" ht="15.75" thickBot="1" x14ac:dyDescent="0.3">
      <c r="A13" s="35">
        <v>29</v>
      </c>
      <c r="B13" s="36" t="s">
        <v>125</v>
      </c>
      <c r="C13" s="35" t="s">
        <v>52</v>
      </c>
      <c r="D13" s="35" t="s">
        <v>35</v>
      </c>
      <c r="E13" s="41">
        <v>45030</v>
      </c>
      <c r="F13" s="30">
        <f t="shared" si="6"/>
        <v>0</v>
      </c>
      <c r="G13" s="39">
        <f t="shared" si="9"/>
        <v>0</v>
      </c>
      <c r="H13" s="37" t="s">
        <v>39</v>
      </c>
      <c r="I13" s="41">
        <v>45030</v>
      </c>
      <c r="J13" s="38">
        <v>11</v>
      </c>
      <c r="K13" s="37">
        <v>45151</v>
      </c>
      <c r="L13" s="38">
        <v>3</v>
      </c>
      <c r="T13" s="39">
        <v>0</v>
      </c>
      <c r="U13" s="38">
        <v>11</v>
      </c>
      <c r="V13" s="38">
        <v>3</v>
      </c>
      <c r="X13" t="s">
        <v>126</v>
      </c>
      <c r="Y13">
        <f>KURT(T5:T22)</f>
        <v>10.055940046095412</v>
      </c>
      <c r="Z13">
        <f t="shared" ref="Z13:AA13" si="12">KURT(U5:U22)</f>
        <v>1.6954099567834167</v>
      </c>
      <c r="AA13">
        <f t="shared" si="12"/>
        <v>2.0904795335917727</v>
      </c>
      <c r="AH13" t="s">
        <v>127</v>
      </c>
      <c r="AR13" t="s">
        <v>128</v>
      </c>
      <c r="AS13" s="63">
        <f>AS11*(AS11+1)/2-AS12</f>
        <v>171</v>
      </c>
    </row>
    <row r="14" spans="1:46" ht="15.75" thickTop="1" x14ac:dyDescent="0.25">
      <c r="A14" s="35">
        <v>30</v>
      </c>
      <c r="B14" s="36" t="s">
        <v>129</v>
      </c>
      <c r="C14" s="30" t="s">
        <v>130</v>
      </c>
      <c r="D14" s="35" t="s">
        <v>35</v>
      </c>
      <c r="E14" s="41">
        <v>45090</v>
      </c>
      <c r="F14" s="30">
        <f t="shared" si="6"/>
        <v>0</v>
      </c>
      <c r="G14" s="39">
        <f t="shared" si="9"/>
        <v>0</v>
      </c>
      <c r="H14" s="37" t="s">
        <v>39</v>
      </c>
      <c r="I14" s="41">
        <v>45090</v>
      </c>
      <c r="J14" s="38">
        <v>13</v>
      </c>
      <c r="K14" s="37">
        <v>45140</v>
      </c>
      <c r="L14" s="38">
        <v>4</v>
      </c>
      <c r="T14" s="39">
        <v>0</v>
      </c>
      <c r="U14" s="38">
        <v>13</v>
      </c>
      <c r="V14" s="38">
        <v>4</v>
      </c>
      <c r="X14" t="s">
        <v>131</v>
      </c>
      <c r="Y14">
        <f>SKEW(T5:T22)</f>
        <v>3.1134589980849983</v>
      </c>
      <c r="Z14">
        <f t="shared" ref="Z14:AA14" si="13">SKEW(U5:U22)</f>
        <v>-1.1810636311277469</v>
      </c>
      <c r="AA14">
        <f t="shared" si="13"/>
        <v>1.3235804612689916</v>
      </c>
      <c r="AC14" s="78" t="s">
        <v>132</v>
      </c>
      <c r="AD14" s="78">
        <f>[1]!DAGOSTINO(T5:T22)</f>
        <v>32.92133207999246</v>
      </c>
      <c r="AE14" s="78">
        <f>[1]!DAGOSTINO(U5:U22)</f>
        <v>6.8806663061957138</v>
      </c>
      <c r="AF14" s="78">
        <f>[1]!DAGOSTINO(V5:V22)</f>
        <v>8.5211992803960648</v>
      </c>
      <c r="AH14" s="79" t="s">
        <v>133</v>
      </c>
      <c r="AI14" s="79" t="s">
        <v>18</v>
      </c>
      <c r="AJ14" s="79" t="s">
        <v>134</v>
      </c>
      <c r="AK14" s="79" t="s">
        <v>135</v>
      </c>
      <c r="AL14" s="79" t="s">
        <v>136</v>
      </c>
      <c r="AM14" s="79" t="s">
        <v>137</v>
      </c>
      <c r="AR14" t="s">
        <v>138</v>
      </c>
      <c r="AS14" s="64">
        <f>[1]!SRANK(U5:U22,V5:V22)</f>
        <v>0</v>
      </c>
    </row>
    <row r="15" spans="1:46" x14ac:dyDescent="0.25">
      <c r="A15" s="35">
        <v>31</v>
      </c>
      <c r="B15" s="36" t="s">
        <v>139</v>
      </c>
      <c r="C15" s="30" t="s">
        <v>130</v>
      </c>
      <c r="D15" s="35" t="s">
        <v>35</v>
      </c>
      <c r="E15" s="41">
        <v>45048</v>
      </c>
      <c r="F15" s="30">
        <f t="shared" si="6"/>
        <v>0</v>
      </c>
      <c r="G15" s="39">
        <f t="shared" si="9"/>
        <v>0</v>
      </c>
      <c r="H15" s="37" t="s">
        <v>39</v>
      </c>
      <c r="I15" s="41">
        <v>45048</v>
      </c>
      <c r="J15" s="38">
        <v>16</v>
      </c>
      <c r="K15" s="37">
        <v>45139</v>
      </c>
      <c r="L15" s="38">
        <v>4</v>
      </c>
      <c r="T15" s="39">
        <v>0</v>
      </c>
      <c r="U15" s="38">
        <v>16</v>
      </c>
      <c r="V15" s="38">
        <v>4</v>
      </c>
      <c r="X15" t="s">
        <v>140</v>
      </c>
      <c r="Y15">
        <f>Y16-Y17</f>
        <v>17.916666666666668</v>
      </c>
      <c r="Z15">
        <f t="shared" ref="Z15:AA15" si="14">Z16-Z17</f>
        <v>13</v>
      </c>
      <c r="AA15">
        <f t="shared" si="14"/>
        <v>9</v>
      </c>
      <c r="AC15" t="s">
        <v>18</v>
      </c>
      <c r="AD15">
        <f>[1]!DPTEST(T5:T22)</f>
        <v>7.0994314538275205E-8</v>
      </c>
      <c r="AE15">
        <f>[1]!DPTEST(U5:U22)</f>
        <v>3.2054004657859902E-2</v>
      </c>
      <c r="AF15">
        <f>[1]!DPTEST(V5:V22)</f>
        <v>1.4113836648409261E-2</v>
      </c>
      <c r="AH15" t="s">
        <v>141</v>
      </c>
      <c r="AI15">
        <f>_xlfn.T.DIST.RT(ABS(AM11),AN11)</f>
        <v>2.4152451887063513E-9</v>
      </c>
      <c r="AJ15">
        <f>_xlfn.T.INV.2T(AL7*2,AN11)</f>
        <v>1.7396067260750732</v>
      </c>
      <c r="AM15" s="33" t="str">
        <f>IF(AI15&lt;AL7,"yes","no")</f>
        <v>yes</v>
      </c>
    </row>
    <row r="16" spans="1:46" x14ac:dyDescent="0.25">
      <c r="A16" s="35">
        <v>32</v>
      </c>
      <c r="B16" s="36" t="s">
        <v>142</v>
      </c>
      <c r="C16" s="30" t="s">
        <v>130</v>
      </c>
      <c r="D16" s="35" t="s">
        <v>35</v>
      </c>
      <c r="E16" s="41">
        <v>44812</v>
      </c>
      <c r="F16" s="30">
        <f t="shared" si="6"/>
        <v>0</v>
      </c>
      <c r="G16" s="39">
        <f t="shared" si="9"/>
        <v>0</v>
      </c>
      <c r="H16" s="37" t="s">
        <v>39</v>
      </c>
      <c r="I16" s="41">
        <v>44812</v>
      </c>
      <c r="J16" s="38">
        <v>14</v>
      </c>
      <c r="K16" s="37">
        <v>44863</v>
      </c>
      <c r="L16" s="38">
        <v>3</v>
      </c>
      <c r="T16" s="39">
        <v>0</v>
      </c>
      <c r="U16" s="38">
        <v>14</v>
      </c>
      <c r="V16" s="38">
        <v>3</v>
      </c>
      <c r="X16" t="s">
        <v>12</v>
      </c>
      <c r="Y16" s="61">
        <f>MAX(T5:T22)</f>
        <v>17.916666666666668</v>
      </c>
      <c r="Z16" s="61">
        <f t="shared" ref="Z16:AA16" si="15">MAX(U5:U22)</f>
        <v>16</v>
      </c>
      <c r="AA16" s="61">
        <f t="shared" si="15"/>
        <v>9</v>
      </c>
      <c r="AC16" t="s">
        <v>112</v>
      </c>
      <c r="AD16">
        <v>0.05</v>
      </c>
      <c r="AE16">
        <v>0.05</v>
      </c>
      <c r="AF16">
        <v>0.05</v>
      </c>
      <c r="AH16" t="s">
        <v>143</v>
      </c>
      <c r="AI16">
        <f>_xlfn.T.DIST.2T(ABS(AM11),AN11)</f>
        <v>4.8304903774127027E-9</v>
      </c>
      <c r="AJ16">
        <f>_xlfn.T.INV.2T(AL7,AN11)</f>
        <v>2.109815577833317</v>
      </c>
      <c r="AK16">
        <f>(AJ9-AJ10)-AL11*AJ16</f>
        <v>6.7975775290669542</v>
      </c>
      <c r="AL16">
        <f>(AJ9-AJ10)+AL11*AJ16</f>
        <v>10.091311359821935</v>
      </c>
      <c r="AM16" s="33" t="str">
        <f>IF(AI16&lt;AL7,"yes","no")</f>
        <v>yes</v>
      </c>
      <c r="AS16" s="33" t="s">
        <v>144</v>
      </c>
      <c r="AT16" s="33" t="s">
        <v>145</v>
      </c>
    </row>
    <row r="17" spans="1:46" x14ac:dyDescent="0.25">
      <c r="A17" s="35">
        <v>33</v>
      </c>
      <c r="B17" s="36" t="s">
        <v>146</v>
      </c>
      <c r="C17" s="30" t="s">
        <v>130</v>
      </c>
      <c r="D17" s="35" t="s">
        <v>37</v>
      </c>
      <c r="E17" s="41">
        <v>44941</v>
      </c>
      <c r="F17" s="30">
        <f t="shared" si="6"/>
        <v>0</v>
      </c>
      <c r="G17" s="39">
        <f t="shared" si="9"/>
        <v>0</v>
      </c>
      <c r="H17" s="37" t="s">
        <v>39</v>
      </c>
      <c r="I17" s="41">
        <v>44941</v>
      </c>
      <c r="J17" s="38">
        <v>10</v>
      </c>
      <c r="K17" s="41">
        <v>44988</v>
      </c>
      <c r="L17" s="38">
        <v>2</v>
      </c>
      <c r="T17" s="39">
        <v>0</v>
      </c>
      <c r="U17" s="38">
        <v>10</v>
      </c>
      <c r="V17" s="38">
        <v>2</v>
      </c>
      <c r="X17" t="s">
        <v>13</v>
      </c>
      <c r="Y17" s="61">
        <f>MIN(T5:T22)</f>
        <v>0</v>
      </c>
      <c r="Z17" s="61">
        <f t="shared" ref="Z17:AA17" si="16">MIN(U5:U22)</f>
        <v>3</v>
      </c>
      <c r="AA17" s="61">
        <f t="shared" si="16"/>
        <v>0</v>
      </c>
      <c r="AC17" s="73" t="s">
        <v>115</v>
      </c>
      <c r="AD17" s="77" t="str">
        <f>IF(AD15&lt;AD16,"no","yes")</f>
        <v>no</v>
      </c>
      <c r="AE17" s="77" t="str">
        <f t="shared" ref="AE17:AF17" si="17">IF(AE15&lt;AE16,"no","yes")</f>
        <v>no</v>
      </c>
      <c r="AF17" s="77" t="str">
        <f t="shared" si="17"/>
        <v>no</v>
      </c>
      <c r="AH17" s="78"/>
      <c r="AI17" s="78"/>
      <c r="AJ17" s="78"/>
      <c r="AK17" s="78"/>
      <c r="AL17" s="78"/>
      <c r="AM17" s="78"/>
      <c r="AR17" t="s">
        <v>30</v>
      </c>
      <c r="AS17" s="62">
        <f>AS11*(AS11+1)/4</f>
        <v>85.5</v>
      </c>
    </row>
    <row r="18" spans="1:46" x14ac:dyDescent="0.25">
      <c r="A18" s="35">
        <v>34</v>
      </c>
      <c r="B18" s="36" t="s">
        <v>147</v>
      </c>
      <c r="C18" s="30" t="s">
        <v>44</v>
      </c>
      <c r="D18" s="35" t="s">
        <v>35</v>
      </c>
      <c r="E18" s="41">
        <v>44993</v>
      </c>
      <c r="F18" s="30">
        <f t="shared" si="6"/>
        <v>0</v>
      </c>
      <c r="G18" s="39">
        <f t="shared" si="9"/>
        <v>0</v>
      </c>
      <c r="H18" s="37" t="s">
        <v>39</v>
      </c>
      <c r="I18" s="41">
        <v>44993</v>
      </c>
      <c r="J18" s="38">
        <v>14</v>
      </c>
      <c r="K18" s="41">
        <v>45046</v>
      </c>
      <c r="L18" s="38">
        <v>2</v>
      </c>
      <c r="T18" s="39">
        <v>0</v>
      </c>
      <c r="U18" s="38">
        <v>14</v>
      </c>
      <c r="V18" s="38">
        <v>2</v>
      </c>
      <c r="X18" t="s">
        <v>148</v>
      </c>
      <c r="Y18" s="61">
        <f>SUM(T5:T22)</f>
        <v>31.333333333333336</v>
      </c>
      <c r="Z18" s="61">
        <f t="shared" ref="Z18:AA18" si="18">SUM(U5:U22)</f>
        <v>209</v>
      </c>
      <c r="AA18" s="61">
        <f t="shared" si="18"/>
        <v>57</v>
      </c>
      <c r="AR18" t="s">
        <v>149</v>
      </c>
      <c r="AS18" s="63">
        <f>SQRT(AS17*(2*AS11+1)/6-[1]!TiesCorrection(U5:U22,V5:V22,1)/48)</f>
        <v>22.904693842092716</v>
      </c>
      <c r="AT18" t="s">
        <v>150</v>
      </c>
    </row>
    <row r="19" spans="1:46" x14ac:dyDescent="0.25">
      <c r="A19" s="35">
        <v>35</v>
      </c>
      <c r="B19" s="36" t="s">
        <v>151</v>
      </c>
      <c r="C19" s="30" t="s">
        <v>52</v>
      </c>
      <c r="D19" s="35" t="s">
        <v>35</v>
      </c>
      <c r="E19" s="41">
        <v>44877</v>
      </c>
      <c r="F19" s="30">
        <f t="shared" si="6"/>
        <v>0</v>
      </c>
      <c r="G19" s="39">
        <f t="shared" si="9"/>
        <v>0</v>
      </c>
      <c r="H19" s="37" t="s">
        <v>39</v>
      </c>
      <c r="I19" s="41">
        <v>44877</v>
      </c>
      <c r="J19" s="38">
        <v>13</v>
      </c>
      <c r="K19" s="37">
        <v>44923</v>
      </c>
      <c r="L19" s="38">
        <v>3</v>
      </c>
      <c r="T19" s="39">
        <v>0</v>
      </c>
      <c r="U19" s="38">
        <v>13</v>
      </c>
      <c r="V19" s="38">
        <v>3</v>
      </c>
      <c r="X19" t="s">
        <v>103</v>
      </c>
      <c r="Y19">
        <f>COUNT(T5:T22)</f>
        <v>18</v>
      </c>
      <c r="Z19">
        <f t="shared" ref="Z19:AA19" si="19">COUNT(U5:U22)</f>
        <v>18</v>
      </c>
      <c r="AA19">
        <f t="shared" si="19"/>
        <v>18</v>
      </c>
      <c r="AR19" t="s">
        <v>152</v>
      </c>
      <c r="AS19" s="63">
        <f>ABS(ABS(AS14-AS17)-1/2)/AS18</f>
        <v>3.7110297385330111</v>
      </c>
      <c r="AT19" t="s">
        <v>153</v>
      </c>
    </row>
    <row r="20" spans="1:46" x14ac:dyDescent="0.25">
      <c r="A20" s="35">
        <v>36</v>
      </c>
      <c r="B20" s="36" t="s">
        <v>154</v>
      </c>
      <c r="C20" s="30" t="s">
        <v>44</v>
      </c>
      <c r="D20" s="35" t="s">
        <v>37</v>
      </c>
      <c r="E20" s="41">
        <v>45139</v>
      </c>
      <c r="F20" s="30">
        <f t="shared" si="6"/>
        <v>50</v>
      </c>
      <c r="G20" s="39">
        <f t="shared" si="9"/>
        <v>4.166666666666667</v>
      </c>
      <c r="H20" s="37" t="s">
        <v>39</v>
      </c>
      <c r="I20" s="41">
        <v>45189</v>
      </c>
      <c r="J20" s="38">
        <v>14</v>
      </c>
      <c r="K20" s="41">
        <v>45245</v>
      </c>
      <c r="L20" s="42">
        <v>3</v>
      </c>
      <c r="T20" s="39">
        <v>4.166666666666667</v>
      </c>
      <c r="U20" s="38">
        <v>14</v>
      </c>
      <c r="V20" s="42">
        <v>3</v>
      </c>
      <c r="X20" t="s">
        <v>155</v>
      </c>
      <c r="Y20" t="e">
        <f>GEOMEAN(T5:T22)</f>
        <v>#NUM!</v>
      </c>
      <c r="Z20">
        <f t="shared" ref="Z20:AA20" si="20">GEOMEAN(U5:U22)</f>
        <v>10.951225964010613</v>
      </c>
      <c r="AA20" t="e">
        <f t="shared" si="20"/>
        <v>#NUM!</v>
      </c>
      <c r="AR20" t="s">
        <v>156</v>
      </c>
      <c r="AS20" s="63">
        <f>AS19/SQRT(AS11)</f>
        <v>0.87469809776721097</v>
      </c>
    </row>
    <row r="21" spans="1:46" x14ac:dyDescent="0.25">
      <c r="A21" s="35">
        <v>37</v>
      </c>
      <c r="B21" s="36" t="s">
        <v>157</v>
      </c>
      <c r="C21" s="30" t="s">
        <v>44</v>
      </c>
      <c r="D21" s="35" t="s">
        <v>37</v>
      </c>
      <c r="E21" s="41">
        <v>45200</v>
      </c>
      <c r="F21" s="30">
        <f t="shared" si="6"/>
        <v>1</v>
      </c>
      <c r="G21" s="39">
        <f t="shared" si="9"/>
        <v>8.3333333333333329E-2</v>
      </c>
      <c r="H21" s="37" t="s">
        <v>39</v>
      </c>
      <c r="I21" s="41">
        <v>45201</v>
      </c>
      <c r="J21" s="38">
        <v>12</v>
      </c>
      <c r="K21" s="41">
        <v>45302</v>
      </c>
      <c r="L21" s="42">
        <v>2</v>
      </c>
      <c r="T21" s="39">
        <v>8.3333333333333329E-2</v>
      </c>
      <c r="U21" s="38">
        <v>12</v>
      </c>
      <c r="V21" s="42">
        <v>2</v>
      </c>
      <c r="X21" t="s">
        <v>158</v>
      </c>
      <c r="Y21" t="e">
        <f>HARMEAN(T5:T22)</f>
        <v>#NUM!</v>
      </c>
      <c r="Z21">
        <f t="shared" ref="Z21:AA21" si="21">HARMEAN(U5:U22)</f>
        <v>9.9090591062341797</v>
      </c>
      <c r="AA21" t="e">
        <f t="shared" si="21"/>
        <v>#NUM!</v>
      </c>
      <c r="AR21" t="s">
        <v>159</v>
      </c>
      <c r="AS21" s="62">
        <f>1-_xlfn.NORM.S.DIST(AS19,TRUE)</f>
        <v>1.0320892484383393E-4</v>
      </c>
      <c r="AT21" s="83">
        <f>2*AS21</f>
        <v>2.0641784968766785E-4</v>
      </c>
    </row>
    <row r="22" spans="1:46" x14ac:dyDescent="0.25">
      <c r="A22" s="35">
        <v>38</v>
      </c>
      <c r="B22" s="35" t="s">
        <v>160</v>
      </c>
      <c r="C22" s="35" t="s">
        <v>52</v>
      </c>
      <c r="D22" s="35" t="s">
        <v>37</v>
      </c>
      <c r="E22" s="41">
        <v>45140</v>
      </c>
      <c r="F22" s="30">
        <f t="shared" si="6"/>
        <v>0</v>
      </c>
      <c r="G22" s="39">
        <f t="shared" si="9"/>
        <v>0</v>
      </c>
      <c r="H22" s="37" t="s">
        <v>39</v>
      </c>
      <c r="I22" s="41">
        <v>45140</v>
      </c>
      <c r="J22" s="38">
        <v>16</v>
      </c>
      <c r="K22" s="41">
        <v>45210</v>
      </c>
      <c r="L22" s="42">
        <v>2</v>
      </c>
      <c r="T22" s="39">
        <v>0</v>
      </c>
      <c r="U22" s="38">
        <v>16</v>
      </c>
      <c r="V22" s="42">
        <v>2</v>
      </c>
      <c r="X22" t="s">
        <v>161</v>
      </c>
      <c r="Y22">
        <f>AVEDEV(T5:T22)</f>
        <v>2.7993827160493825</v>
      </c>
      <c r="Z22">
        <f t="shared" ref="Z22:AA22" si="22">AVEDEV(U5:U22)</f>
        <v>2.4074074074074066</v>
      </c>
      <c r="AA22">
        <f t="shared" si="22"/>
        <v>1.5740740740740746</v>
      </c>
      <c r="AR22" t="s">
        <v>162</v>
      </c>
      <c r="AS22" s="63">
        <f>[1]!SRDIST(AS14,AS11,1)</f>
        <v>3.814697265625E-6</v>
      </c>
      <c r="AT22" s="84">
        <f>2*AS22</f>
        <v>7.62939453125E-6</v>
      </c>
    </row>
    <row r="23" spans="1:46" x14ac:dyDescent="0.25">
      <c r="X23" t="s">
        <v>163</v>
      </c>
      <c r="Y23">
        <f>[1]!MAD(T5:T22)</f>
        <v>0</v>
      </c>
      <c r="Z23">
        <f>[1]!MAD(U5:U22)</f>
        <v>2</v>
      </c>
      <c r="AA23">
        <f>[1]!MAD(V5:V22)</f>
        <v>1</v>
      </c>
      <c r="AR23" t="s">
        <v>164</v>
      </c>
      <c r="AS23" s="64" t="s">
        <v>47</v>
      </c>
      <c r="AT23" s="85" t="s">
        <v>47</v>
      </c>
    </row>
    <row r="24" spans="1:46" x14ac:dyDescent="0.25">
      <c r="E24" s="37">
        <v>43301</v>
      </c>
      <c r="X24" s="73" t="s">
        <v>14</v>
      </c>
      <c r="Y24" s="73">
        <f>[1]!IQR(T5:T22,FALSE)</f>
        <v>0.25</v>
      </c>
      <c r="Z24" s="73">
        <f>[1]!IQR(U5:U22,FALSE)</f>
        <v>3.5</v>
      </c>
      <c r="AA24" s="73">
        <f>[1]!IQR(V5:V22,FALSE)</f>
        <v>1.75</v>
      </c>
    </row>
    <row r="25" spans="1:46" x14ac:dyDescent="0.25">
      <c r="B25" s="11" t="s">
        <v>165</v>
      </c>
      <c r="C25" s="11"/>
      <c r="D25" s="11"/>
    </row>
    <row r="26" spans="1:46" x14ac:dyDescent="0.25">
      <c r="B26" s="11" t="s">
        <v>166</v>
      </c>
      <c r="C26" s="11"/>
      <c r="D26" s="11"/>
    </row>
    <row r="28" spans="1:46" x14ac:dyDescent="0.25">
      <c r="Y28" t="s">
        <v>40</v>
      </c>
      <c r="Z28" t="s">
        <v>48</v>
      </c>
      <c r="AA28" t="s">
        <v>48</v>
      </c>
    </row>
    <row r="29" spans="1:46" x14ac:dyDescent="0.25">
      <c r="X29" t="s">
        <v>9</v>
      </c>
      <c r="Y29">
        <v>1.7407407407407409</v>
      </c>
      <c r="Z29">
        <v>11.611111111111111</v>
      </c>
      <c r="AA29">
        <v>3.1666666666666665</v>
      </c>
    </row>
    <row r="30" spans="1:46" x14ac:dyDescent="0.25">
      <c r="X30" t="s">
        <v>10</v>
      </c>
      <c r="Y30">
        <v>1.0748344540096324</v>
      </c>
      <c r="Z30">
        <v>0.77602510272419511</v>
      </c>
      <c r="AA30">
        <v>0.54383051954347705</v>
      </c>
    </row>
    <row r="31" spans="1:46" x14ac:dyDescent="0.25">
      <c r="X31" t="s">
        <v>11</v>
      </c>
      <c r="Y31">
        <v>0</v>
      </c>
      <c r="Z31">
        <v>12</v>
      </c>
      <c r="AA31">
        <v>3</v>
      </c>
    </row>
    <row r="32" spans="1:46" x14ac:dyDescent="0.25">
      <c r="X32" t="s">
        <v>12</v>
      </c>
      <c r="Y32">
        <v>17.916666666666668</v>
      </c>
      <c r="Z32">
        <v>16</v>
      </c>
      <c r="AA32">
        <v>9</v>
      </c>
    </row>
    <row r="33" spans="24:27" x14ac:dyDescent="0.25">
      <c r="X33" t="s">
        <v>13</v>
      </c>
      <c r="Y33">
        <v>0</v>
      </c>
      <c r="Z33">
        <v>3</v>
      </c>
      <c r="AA33">
        <v>0</v>
      </c>
    </row>
    <row r="34" spans="24:27" x14ac:dyDescent="0.25">
      <c r="X34" t="s">
        <v>103</v>
      </c>
      <c r="Y34">
        <v>18</v>
      </c>
      <c r="Z34">
        <v>18</v>
      </c>
      <c r="AA34">
        <v>18</v>
      </c>
    </row>
    <row r="35" spans="24:27" x14ac:dyDescent="0.25">
      <c r="X35" t="s">
        <v>14</v>
      </c>
      <c r="Y35">
        <v>0.25</v>
      </c>
      <c r="Z35">
        <v>3.5</v>
      </c>
      <c r="AA35">
        <v>1.75</v>
      </c>
    </row>
    <row r="36" spans="24:27" x14ac:dyDescent="0.25">
      <c r="X36" t="s">
        <v>18</v>
      </c>
      <c r="Y36">
        <v>7.0994314538275205E-8</v>
      </c>
      <c r="Z36">
        <v>3.2054004657859902E-2</v>
      </c>
      <c r="AA36">
        <v>1.4113836648409261E-2</v>
      </c>
    </row>
  </sheetData>
  <mergeCells count="1">
    <mergeCell ref="A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47FC-27EB-45EF-A285-20C2604FC6D0}">
  <dimension ref="A1:BK142"/>
  <sheetViews>
    <sheetView topLeftCell="AJ67" zoomScale="80" zoomScaleNormal="80" workbookViewId="0">
      <selection activeCell="AL80" sqref="AL80:AZ87"/>
    </sheetView>
  </sheetViews>
  <sheetFormatPr baseColWidth="10" defaultColWidth="11.42578125" defaultRowHeight="15" x14ac:dyDescent="0.25"/>
  <cols>
    <col min="1" max="1" width="14.85546875" bestFit="1" customWidth="1"/>
    <col min="2" max="2" width="30" bestFit="1" customWidth="1"/>
    <col min="3" max="3" width="13.85546875" bestFit="1" customWidth="1"/>
    <col min="4" max="4" width="5.85546875" bestFit="1" customWidth="1"/>
    <col min="5" max="5" width="26.85546875" bestFit="1" customWidth="1"/>
    <col min="6" max="6" width="0" hidden="1" customWidth="1"/>
    <col min="7" max="7" width="16.85546875" bestFit="1" customWidth="1"/>
    <col min="8" max="8" width="39" hidden="1" customWidth="1"/>
    <col min="9" max="9" width="39.140625" bestFit="1" customWidth="1"/>
    <col min="10" max="11" width="0" hidden="1" customWidth="1"/>
    <col min="12" max="12" width="14.140625" bestFit="1" customWidth="1"/>
    <col min="13" max="13" width="22.85546875" bestFit="1" customWidth="1"/>
    <col min="14" max="14" width="13.7109375" bestFit="1" customWidth="1"/>
    <col min="15" max="15" width="22.85546875" bestFit="1" customWidth="1"/>
    <col min="16" max="16" width="26.85546875" bestFit="1" customWidth="1"/>
    <col min="17" max="17" width="36.85546875" bestFit="1" customWidth="1"/>
    <col min="19" max="19" width="13.7109375" bestFit="1" customWidth="1"/>
    <col min="40" max="40" width="12.42578125" bestFit="1" customWidth="1"/>
    <col min="41" max="41" width="11.42578125" bestFit="1" customWidth="1"/>
    <col min="42" max="42" width="12.42578125" bestFit="1" customWidth="1"/>
    <col min="43" max="43" width="13.5703125" bestFit="1" customWidth="1"/>
    <col min="44" max="44" width="11.42578125" bestFit="1" customWidth="1"/>
    <col min="45" max="45" width="12.42578125" bestFit="1" customWidth="1"/>
  </cols>
  <sheetData>
    <row r="1" spans="1:32" ht="18.75" x14ac:dyDescent="0.3">
      <c r="A1" s="130" t="s">
        <v>167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4" spans="1:32" x14ac:dyDescent="0.25">
      <c r="A4" s="24" t="s">
        <v>83</v>
      </c>
      <c r="B4" s="24" t="s">
        <v>84</v>
      </c>
      <c r="C4" s="24" t="s">
        <v>34</v>
      </c>
      <c r="D4" s="24" t="s">
        <v>0</v>
      </c>
      <c r="E4" s="25" t="s">
        <v>85</v>
      </c>
      <c r="F4" s="26" t="s">
        <v>86</v>
      </c>
      <c r="G4" s="26" t="s">
        <v>40</v>
      </c>
      <c r="H4" s="25" t="s">
        <v>87</v>
      </c>
      <c r="I4" s="25" t="s">
        <v>168</v>
      </c>
      <c r="J4" s="25" t="s">
        <v>169</v>
      </c>
      <c r="K4" s="25" t="s">
        <v>170</v>
      </c>
      <c r="L4" s="25" t="s">
        <v>88</v>
      </c>
      <c r="M4" s="26" t="s">
        <v>63</v>
      </c>
      <c r="N4" s="25" t="s">
        <v>89</v>
      </c>
      <c r="O4" s="29" t="s">
        <v>48</v>
      </c>
      <c r="P4" s="27" t="s">
        <v>171</v>
      </c>
      <c r="Q4" s="28" t="s">
        <v>172</v>
      </c>
      <c r="T4" t="s">
        <v>40</v>
      </c>
      <c r="U4" t="s">
        <v>63</v>
      </c>
      <c r="V4" t="s">
        <v>48</v>
      </c>
      <c r="X4" t="s">
        <v>90</v>
      </c>
      <c r="AC4" t="s">
        <v>91</v>
      </c>
    </row>
    <row r="5" spans="1:32" x14ac:dyDescent="0.25">
      <c r="A5" s="14">
        <v>1</v>
      </c>
      <c r="B5" s="15" t="s">
        <v>173</v>
      </c>
      <c r="C5" s="14" t="s">
        <v>52</v>
      </c>
      <c r="D5" s="14" t="s">
        <v>37</v>
      </c>
      <c r="E5" s="12">
        <v>41394</v>
      </c>
      <c r="F5" s="13" t="e">
        <f>#REF!-E5</f>
        <v>#REF!</v>
      </c>
      <c r="G5" s="16">
        <v>2</v>
      </c>
      <c r="H5" s="12" t="s">
        <v>39</v>
      </c>
      <c r="I5" s="12" t="s">
        <v>60</v>
      </c>
      <c r="J5" s="12">
        <v>41579</v>
      </c>
      <c r="K5" s="12">
        <v>41852</v>
      </c>
      <c r="L5" s="12">
        <v>41676</v>
      </c>
      <c r="M5" s="13">
        <v>7</v>
      </c>
      <c r="N5" s="12">
        <v>42698</v>
      </c>
      <c r="O5" s="13">
        <v>0</v>
      </c>
      <c r="P5" s="30" t="s">
        <v>174</v>
      </c>
      <c r="Q5" s="30" t="s">
        <v>174</v>
      </c>
      <c r="T5">
        <v>2</v>
      </c>
      <c r="U5">
        <v>7</v>
      </c>
      <c r="V5">
        <v>0</v>
      </c>
    </row>
    <row r="6" spans="1:32" x14ac:dyDescent="0.25">
      <c r="A6" s="14">
        <v>2</v>
      </c>
      <c r="B6" s="15" t="s">
        <v>175</v>
      </c>
      <c r="C6" s="14" t="s">
        <v>52</v>
      </c>
      <c r="D6" s="14" t="s">
        <v>37</v>
      </c>
      <c r="E6" s="12">
        <v>41316</v>
      </c>
      <c r="F6" s="13" t="e">
        <f>[2]!Tabla16[[#This Row],[T1 (FECHA)]]-[2]!Tabla16[[#This Row],[FECHA DE NACIMIENTO]]</f>
        <v>#REF!</v>
      </c>
      <c r="G6" s="16">
        <f>+(L6-E6)/12</f>
        <v>25.333333333333332</v>
      </c>
      <c r="H6" s="12" t="s">
        <v>39</v>
      </c>
      <c r="I6" s="12" t="s">
        <v>60</v>
      </c>
      <c r="J6" s="12">
        <v>41439</v>
      </c>
      <c r="K6" s="12">
        <v>41659</v>
      </c>
      <c r="L6" s="12">
        <v>41620</v>
      </c>
      <c r="M6" s="13">
        <v>9</v>
      </c>
      <c r="N6" s="12">
        <v>42639</v>
      </c>
      <c r="O6" s="13">
        <v>0</v>
      </c>
      <c r="P6" s="30" t="s">
        <v>174</v>
      </c>
      <c r="Q6" s="30" t="s">
        <v>174</v>
      </c>
      <c r="T6">
        <v>25.333333333333332</v>
      </c>
      <c r="U6">
        <v>9</v>
      </c>
      <c r="V6">
        <v>0</v>
      </c>
      <c r="X6" s="74"/>
      <c r="Y6" s="74" t="str">
        <f>T4</f>
        <v>EDAD (MESES)</v>
      </c>
      <c r="Z6" s="74" t="str">
        <f t="shared" ref="Z6:AA6" si="0">U4</f>
        <v>FISURA  (mm) T1</v>
      </c>
      <c r="AA6" s="74" t="str">
        <f t="shared" si="0"/>
        <v>FISURA  (mm) T2</v>
      </c>
      <c r="AC6" s="74"/>
      <c r="AD6" s="74" t="str">
        <f>T4</f>
        <v>EDAD (MESES)</v>
      </c>
      <c r="AE6" s="74" t="str">
        <f t="shared" ref="AE6:AF6" si="1">U4</f>
        <v>FISURA  (mm) T1</v>
      </c>
      <c r="AF6" s="74" t="str">
        <f t="shared" si="1"/>
        <v>FISURA  (mm) T2</v>
      </c>
    </row>
    <row r="7" spans="1:32" x14ac:dyDescent="0.25">
      <c r="A7" s="14">
        <v>3</v>
      </c>
      <c r="B7" s="15" t="s">
        <v>176</v>
      </c>
      <c r="C7" s="14" t="s">
        <v>44</v>
      </c>
      <c r="D7" s="14" t="s">
        <v>37</v>
      </c>
      <c r="E7" s="12">
        <v>41143</v>
      </c>
      <c r="F7" s="13" t="e">
        <f>[2]!Tabla16[[#This Row],[T1 (FECHA)]]-[2]!Tabla16[[#This Row],[FECHA DE NACIMIENTO]]</f>
        <v>#REF!</v>
      </c>
      <c r="G7" s="16">
        <f t="shared" ref="G7:G12" si="2">+(L7-E7)/12</f>
        <v>17.333333333333332</v>
      </c>
      <c r="H7" s="12" t="s">
        <v>39</v>
      </c>
      <c r="I7" s="12" t="s">
        <v>60</v>
      </c>
      <c r="J7" s="12">
        <v>41264</v>
      </c>
      <c r="K7" s="12">
        <v>41608</v>
      </c>
      <c r="L7" s="12">
        <v>41351</v>
      </c>
      <c r="M7" s="13">
        <v>11</v>
      </c>
      <c r="N7" s="12">
        <v>42695</v>
      </c>
      <c r="O7" s="13">
        <v>0</v>
      </c>
      <c r="P7" s="30" t="s">
        <v>174</v>
      </c>
      <c r="Q7" s="30" t="s">
        <v>174</v>
      </c>
      <c r="T7">
        <v>17.333333333333332</v>
      </c>
      <c r="U7">
        <v>11</v>
      </c>
      <c r="V7">
        <v>0</v>
      </c>
      <c r="X7" t="s">
        <v>9</v>
      </c>
      <c r="Y7">
        <f>AVERAGE(T5:T28)</f>
        <v>23.697916666666671</v>
      </c>
      <c r="Z7">
        <f t="shared" ref="Z7:AA7" si="3">AVERAGE(U5:U28)</f>
        <v>6.333333333333333</v>
      </c>
      <c r="AA7">
        <f t="shared" si="3"/>
        <v>0.25</v>
      </c>
      <c r="AC7" t="s">
        <v>97</v>
      </c>
      <c r="AD7">
        <f>[1]!SHAPIRO(T5:T28)</f>
        <v>0.44351693653717922</v>
      </c>
      <c r="AE7">
        <f>[1]!SHAPIRO(U5:U28)</f>
        <v>0.92096378014738012</v>
      </c>
      <c r="AF7">
        <f>[1]!SHAPIRO(V5:V28)</f>
        <v>0.46608903306349364</v>
      </c>
    </row>
    <row r="8" spans="1:32" x14ac:dyDescent="0.25">
      <c r="A8" s="14">
        <v>4</v>
      </c>
      <c r="B8" s="15" t="s">
        <v>177</v>
      </c>
      <c r="C8" s="14" t="s">
        <v>52</v>
      </c>
      <c r="D8" s="14" t="s">
        <v>35</v>
      </c>
      <c r="E8" s="12">
        <v>41683</v>
      </c>
      <c r="F8" s="13" t="e">
        <f>[2]!Tabla16[[#This Row],[T1 (FECHA)]]-[2]!Tabla16[[#This Row],[FECHA DE NACIMIENTO]]</f>
        <v>#REF!</v>
      </c>
      <c r="G8" s="16">
        <f t="shared" si="2"/>
        <v>16.75</v>
      </c>
      <c r="H8" s="12" t="s">
        <v>39</v>
      </c>
      <c r="I8" s="12" t="s">
        <v>60</v>
      </c>
      <c r="J8" s="12">
        <v>41787</v>
      </c>
      <c r="K8" s="12">
        <v>42124</v>
      </c>
      <c r="L8" s="12">
        <v>41884</v>
      </c>
      <c r="M8" s="13">
        <v>12</v>
      </c>
      <c r="N8" s="12">
        <v>42415</v>
      </c>
      <c r="O8" s="13">
        <v>0</v>
      </c>
      <c r="P8" s="30" t="s">
        <v>174</v>
      </c>
      <c r="Q8" s="30" t="s">
        <v>174</v>
      </c>
      <c r="T8">
        <v>16.75</v>
      </c>
      <c r="U8">
        <v>12</v>
      </c>
      <c r="V8">
        <v>0</v>
      </c>
      <c r="X8" t="s">
        <v>10</v>
      </c>
      <c r="Y8">
        <f>_xlfn.STDEV.S(T5:T28)/SQRT(COUNT(T5:T28))</f>
        <v>6.8697824816444308</v>
      </c>
      <c r="Z8">
        <f t="shared" ref="Z8:AA8" si="4">_xlfn.STDEV.S(U5:U28)/SQRT(COUNT(U5:U28))</f>
        <v>0.79095124042781528</v>
      </c>
      <c r="AA8">
        <f t="shared" si="4"/>
        <v>0.12409089702567905</v>
      </c>
      <c r="AC8" t="s">
        <v>18</v>
      </c>
      <c r="AD8">
        <f>[1]!SWTEST(T5:T28)</f>
        <v>1.6655858914305099E-8</v>
      </c>
      <c r="AE8">
        <f>[1]!SWTEST(U5:U28)</f>
        <v>6.1347533981566449E-2</v>
      </c>
      <c r="AF8">
        <f>[1]!SWTEST(V5:V28)</f>
        <v>2.6843457345826494E-8</v>
      </c>
    </row>
    <row r="9" spans="1:32" x14ac:dyDescent="0.25">
      <c r="A9" s="14">
        <v>5</v>
      </c>
      <c r="B9" s="15" t="s">
        <v>178</v>
      </c>
      <c r="C9" s="14" t="s">
        <v>44</v>
      </c>
      <c r="D9" s="14" t="s">
        <v>35</v>
      </c>
      <c r="E9" s="12">
        <v>41869</v>
      </c>
      <c r="F9" s="13" t="e">
        <f>[2]!Tabla16[[#This Row],[T1 (FECHA)]]-[2]!Tabla16[[#This Row],[FECHA DE NACIMIENTO]]</f>
        <v>#REF!</v>
      </c>
      <c r="G9" s="16">
        <f t="shared" si="2"/>
        <v>15.166666666666666</v>
      </c>
      <c r="H9" s="12" t="s">
        <v>39</v>
      </c>
      <c r="I9" s="12" t="s">
        <v>60</v>
      </c>
      <c r="J9" s="12">
        <v>41994</v>
      </c>
      <c r="K9" s="12">
        <v>42062</v>
      </c>
      <c r="L9" s="12">
        <v>42051</v>
      </c>
      <c r="M9" s="13">
        <v>7</v>
      </c>
      <c r="N9" s="12">
        <v>42695</v>
      </c>
      <c r="O9" s="13">
        <v>0</v>
      </c>
      <c r="P9" s="30" t="s">
        <v>174</v>
      </c>
      <c r="Q9" s="30" t="s">
        <v>174</v>
      </c>
      <c r="T9">
        <v>15.166666666666666</v>
      </c>
      <c r="U9">
        <v>7</v>
      </c>
      <c r="V9">
        <v>0</v>
      </c>
      <c r="X9" t="s">
        <v>11</v>
      </c>
      <c r="Y9">
        <f>MEDIAN(T5:T28)</f>
        <v>15.541666666666668</v>
      </c>
      <c r="Z9">
        <f t="shared" ref="Z9:AA9" si="5">MEDIAN(U5:U28)</f>
        <v>6.5</v>
      </c>
      <c r="AA9">
        <f t="shared" si="5"/>
        <v>0</v>
      </c>
      <c r="AC9" t="s">
        <v>112</v>
      </c>
      <c r="AD9">
        <v>0.05</v>
      </c>
      <c r="AE9">
        <v>0.05</v>
      </c>
      <c r="AF9">
        <v>0.05</v>
      </c>
    </row>
    <row r="10" spans="1:32" x14ac:dyDescent="0.25">
      <c r="A10" s="14">
        <v>6</v>
      </c>
      <c r="B10" s="15" t="s">
        <v>179</v>
      </c>
      <c r="C10" s="14" t="s">
        <v>44</v>
      </c>
      <c r="D10" s="14" t="s">
        <v>37</v>
      </c>
      <c r="E10" s="12">
        <v>41147</v>
      </c>
      <c r="F10" s="13" t="e">
        <f>[2]!Tabla16[[#This Row],[T1 (FECHA)]]-[2]!Tabla16[[#This Row],[FECHA DE NACIMIENTO]]</f>
        <v>#REF!</v>
      </c>
      <c r="G10" s="16">
        <f t="shared" si="2"/>
        <v>14.166666666666666</v>
      </c>
      <c r="H10" s="12" t="s">
        <v>39</v>
      </c>
      <c r="I10" s="12" t="s">
        <v>60</v>
      </c>
      <c r="J10" s="12">
        <v>41265</v>
      </c>
      <c r="K10" s="12">
        <v>42062</v>
      </c>
      <c r="L10" s="12">
        <v>41317</v>
      </c>
      <c r="M10" s="13">
        <v>10</v>
      </c>
      <c r="N10" s="12">
        <v>42416</v>
      </c>
      <c r="O10" s="13">
        <v>0</v>
      </c>
      <c r="P10" s="30" t="s">
        <v>174</v>
      </c>
      <c r="Q10" s="30" t="s">
        <v>174</v>
      </c>
      <c r="T10">
        <v>14.166666666666666</v>
      </c>
      <c r="U10">
        <v>10</v>
      </c>
      <c r="V10">
        <v>0</v>
      </c>
      <c r="X10" t="s">
        <v>114</v>
      </c>
      <c r="Y10">
        <f>MODE(T5:T28)</f>
        <v>7.333333333333333</v>
      </c>
      <c r="Z10">
        <f t="shared" ref="Z10:AA10" si="6">MODE(U5:U28)</f>
        <v>2</v>
      </c>
      <c r="AA10">
        <f t="shared" si="6"/>
        <v>0</v>
      </c>
      <c r="AC10" s="73" t="s">
        <v>115</v>
      </c>
      <c r="AD10" s="77" t="str">
        <f>IF(AD8&lt;AD9,"no","yes")</f>
        <v>no</v>
      </c>
      <c r="AE10" s="77" t="str">
        <f t="shared" ref="AE10:AF10" si="7">IF(AE8&lt;AE9,"no","yes")</f>
        <v>yes</v>
      </c>
      <c r="AF10" s="77" t="str">
        <f t="shared" si="7"/>
        <v>no</v>
      </c>
    </row>
    <row r="11" spans="1:32" x14ac:dyDescent="0.25">
      <c r="A11" s="14">
        <v>7</v>
      </c>
      <c r="B11" s="15" t="s">
        <v>180</v>
      </c>
      <c r="C11" s="14" t="s">
        <v>44</v>
      </c>
      <c r="D11" s="14" t="s">
        <v>37</v>
      </c>
      <c r="E11" s="12">
        <v>41337</v>
      </c>
      <c r="F11" s="13" t="e">
        <f>[2]!Tabla16[[#This Row],[T1 (FECHA)]]-[2]!Tabla16[[#This Row],[FECHA DE NACIMIENTO]]</f>
        <v>#REF!</v>
      </c>
      <c r="G11" s="16">
        <f t="shared" si="2"/>
        <v>22.75</v>
      </c>
      <c r="H11" s="12" t="s">
        <v>39</v>
      </c>
      <c r="I11" s="12" t="s">
        <v>60</v>
      </c>
      <c r="J11" s="12">
        <v>41473</v>
      </c>
      <c r="K11" s="12">
        <v>41735</v>
      </c>
      <c r="L11" s="12">
        <v>41610</v>
      </c>
      <c r="M11" s="13">
        <v>8</v>
      </c>
      <c r="N11" s="12">
        <v>42661</v>
      </c>
      <c r="O11" s="13">
        <v>0</v>
      </c>
      <c r="P11" s="30" t="s">
        <v>174</v>
      </c>
      <c r="Q11" s="30" t="s">
        <v>174</v>
      </c>
      <c r="T11">
        <v>22.75</v>
      </c>
      <c r="U11">
        <v>8</v>
      </c>
      <c r="V11">
        <v>0</v>
      </c>
      <c r="X11" t="s">
        <v>118</v>
      </c>
      <c r="Y11">
        <f>_xlfn.STDEV.S(T5:T28)</f>
        <v>33.654923447879199</v>
      </c>
      <c r="Z11">
        <f t="shared" ref="Z11:AA11" si="8">_xlfn.STDEV.S(U5:U28)</f>
        <v>3.8748539009391294</v>
      </c>
      <c r="AA11">
        <f t="shared" si="8"/>
        <v>0.60791875887432878</v>
      </c>
    </row>
    <row r="12" spans="1:32" x14ac:dyDescent="0.25">
      <c r="A12" s="14">
        <v>8</v>
      </c>
      <c r="B12" s="15" t="s">
        <v>181</v>
      </c>
      <c r="C12" s="14" t="s">
        <v>52</v>
      </c>
      <c r="D12" s="14" t="s">
        <v>37</v>
      </c>
      <c r="E12" s="12">
        <v>41100</v>
      </c>
      <c r="F12" s="13" t="e">
        <f>[2]!Tabla16[[#This Row],[T1 (FECHA)]]-[2]!Tabla16[[#This Row],[FECHA DE NACIMIENTO]]</f>
        <v>#REF!</v>
      </c>
      <c r="G12" s="16">
        <f t="shared" si="2"/>
        <v>20.416666666666668</v>
      </c>
      <c r="H12" s="12" t="s">
        <v>39</v>
      </c>
      <c r="I12" s="12" t="s">
        <v>60</v>
      </c>
      <c r="J12" s="12">
        <v>41236</v>
      </c>
      <c r="K12" s="12">
        <v>41802</v>
      </c>
      <c r="L12" s="12">
        <v>41345</v>
      </c>
      <c r="M12" s="13">
        <v>13</v>
      </c>
      <c r="N12" s="12">
        <v>42716</v>
      </c>
      <c r="O12" s="13">
        <v>0</v>
      </c>
      <c r="P12" s="30" t="s">
        <v>174</v>
      </c>
      <c r="Q12" s="30" t="s">
        <v>174</v>
      </c>
      <c r="T12">
        <v>20.416666666666668</v>
      </c>
      <c r="U12">
        <v>13</v>
      </c>
      <c r="V12">
        <v>0</v>
      </c>
      <c r="X12" t="s">
        <v>122</v>
      </c>
      <c r="Y12">
        <f>_xlfn.VAR.S(T5:T28)</f>
        <v>1132.653872282609</v>
      </c>
      <c r="Z12">
        <f t="shared" ref="Z12:AA12" si="9">_xlfn.VAR.S(U5:U28)</f>
        <v>15.014492753623189</v>
      </c>
      <c r="AA12">
        <f t="shared" si="9"/>
        <v>0.36956521739130432</v>
      </c>
      <c r="AC12" t="s">
        <v>123</v>
      </c>
    </row>
    <row r="13" spans="1:32" x14ac:dyDescent="0.25">
      <c r="A13" s="14">
        <v>11</v>
      </c>
      <c r="B13" s="15" t="s">
        <v>182</v>
      </c>
      <c r="C13" s="14" t="s">
        <v>52</v>
      </c>
      <c r="D13" s="14" t="s">
        <v>37</v>
      </c>
      <c r="E13" s="12">
        <v>42298</v>
      </c>
      <c r="F13" s="13">
        <v>5</v>
      </c>
      <c r="G13" s="16">
        <f>+(L13-E13)/12</f>
        <v>10.5</v>
      </c>
      <c r="H13" s="12" t="s">
        <v>39</v>
      </c>
      <c r="I13" s="12" t="s">
        <v>60</v>
      </c>
      <c r="J13" s="12">
        <v>42418</v>
      </c>
      <c r="K13" s="12">
        <v>42716</v>
      </c>
      <c r="L13" s="12">
        <v>42424</v>
      </c>
      <c r="M13" s="13">
        <v>4</v>
      </c>
      <c r="N13" s="12">
        <v>43998</v>
      </c>
      <c r="O13" s="13">
        <v>0</v>
      </c>
      <c r="P13" s="30" t="s">
        <v>174</v>
      </c>
      <c r="Q13" s="30" t="s">
        <v>174</v>
      </c>
      <c r="T13">
        <v>10.5</v>
      </c>
      <c r="U13">
        <v>4</v>
      </c>
      <c r="V13">
        <v>0</v>
      </c>
      <c r="X13" t="s">
        <v>126</v>
      </c>
      <c r="Y13">
        <f>KURT(T5:T28)</f>
        <v>19.972409428806277</v>
      </c>
      <c r="Z13">
        <f t="shared" ref="Z13:AA13" si="10">KURT(U5:U28)</f>
        <v>-1.228791534638197</v>
      </c>
      <c r="AA13">
        <f t="shared" si="10"/>
        <v>4.6138498180020715</v>
      </c>
    </row>
    <row r="14" spans="1:32" x14ac:dyDescent="0.25">
      <c r="A14" s="14">
        <v>12</v>
      </c>
      <c r="B14" s="15" t="s">
        <v>183</v>
      </c>
      <c r="C14" s="14" t="s">
        <v>52</v>
      </c>
      <c r="D14" s="14" t="s">
        <v>35</v>
      </c>
      <c r="E14" s="12">
        <v>42147</v>
      </c>
      <c r="F14" s="13">
        <v>4</v>
      </c>
      <c r="G14" s="16">
        <f t="shared" ref="G14:G28" si="11">+(L14-E14)/12</f>
        <v>30</v>
      </c>
      <c r="H14" s="12" t="s">
        <v>39</v>
      </c>
      <c r="I14" s="12" t="s">
        <v>60</v>
      </c>
      <c r="J14" s="12">
        <v>42227</v>
      </c>
      <c r="K14" s="12">
        <v>42594</v>
      </c>
      <c r="L14" s="12">
        <v>42507</v>
      </c>
      <c r="M14" s="13">
        <v>4</v>
      </c>
      <c r="N14" s="12">
        <v>42790</v>
      </c>
      <c r="O14" s="13">
        <v>0</v>
      </c>
      <c r="P14" s="30" t="s">
        <v>174</v>
      </c>
      <c r="Q14" s="30" t="s">
        <v>174</v>
      </c>
      <c r="T14">
        <v>30</v>
      </c>
      <c r="U14">
        <v>4</v>
      </c>
      <c r="V14">
        <v>0</v>
      </c>
      <c r="X14" t="s">
        <v>131</v>
      </c>
      <c r="Y14">
        <f>SKEW(T5:T28)</f>
        <v>4.324543862377932</v>
      </c>
      <c r="Z14">
        <f t="shared" ref="Z14:AA14" si="12">SKEW(U5:U28)</f>
        <v>0.29168096633197083</v>
      </c>
      <c r="AA14">
        <f t="shared" si="12"/>
        <v>2.3750710868886964</v>
      </c>
      <c r="AC14" s="78" t="s">
        <v>132</v>
      </c>
      <c r="AD14" s="78">
        <f>[1]!DAGOSTINO(T5:T28)</f>
        <v>53.85371682042183</v>
      </c>
      <c r="AE14" s="78">
        <f>[1]!DAGOSTINO(U5:U28)</f>
        <v>4.6173082391480866</v>
      </c>
      <c r="AF14" s="78">
        <f>[1]!DAGOSTINO(V5:V28)</f>
        <v>23.739427555036475</v>
      </c>
    </row>
    <row r="15" spans="1:32" x14ac:dyDescent="0.25">
      <c r="A15" s="14">
        <v>13</v>
      </c>
      <c r="B15" s="15" t="s">
        <v>184</v>
      </c>
      <c r="C15" s="14" t="s">
        <v>52</v>
      </c>
      <c r="D15" s="14" t="s">
        <v>35</v>
      </c>
      <c r="E15" s="12">
        <v>42888</v>
      </c>
      <c r="F15" s="13">
        <v>7</v>
      </c>
      <c r="G15" s="16">
        <f t="shared" si="11"/>
        <v>15.25</v>
      </c>
      <c r="H15" s="12" t="s">
        <v>39</v>
      </c>
      <c r="I15" s="12" t="s">
        <v>60</v>
      </c>
      <c r="J15" s="12">
        <v>42989</v>
      </c>
      <c r="K15" s="12">
        <v>42934</v>
      </c>
      <c r="L15" s="12">
        <v>43071</v>
      </c>
      <c r="M15" s="13">
        <v>9</v>
      </c>
      <c r="N15" s="12">
        <v>43299</v>
      </c>
      <c r="O15" s="13">
        <v>0</v>
      </c>
      <c r="P15" s="30" t="s">
        <v>174</v>
      </c>
      <c r="Q15" s="30" t="s">
        <v>174</v>
      </c>
      <c r="T15">
        <v>15.25</v>
      </c>
      <c r="U15">
        <v>9</v>
      </c>
      <c r="V15">
        <v>0</v>
      </c>
      <c r="X15" t="s">
        <v>140</v>
      </c>
      <c r="Y15">
        <f>Y16-Y17</f>
        <v>173.5</v>
      </c>
      <c r="Z15">
        <f t="shared" ref="Z15:AA15" si="13">Z16-Z17</f>
        <v>12</v>
      </c>
      <c r="AA15">
        <f t="shared" si="13"/>
        <v>2</v>
      </c>
      <c r="AC15" t="s">
        <v>18</v>
      </c>
      <c r="AD15">
        <f>[1]!DPTEST(T5:T28)</f>
        <v>2.0221602170522601E-12</v>
      </c>
      <c r="AE15">
        <f>[1]!DPTEST(U5:U28)</f>
        <v>9.9394935276144958E-2</v>
      </c>
      <c r="AF15">
        <f>[1]!DPTEST(V5:V28)</f>
        <v>6.9992064647417251E-6</v>
      </c>
    </row>
    <row r="16" spans="1:32" x14ac:dyDescent="0.25">
      <c r="A16" s="14">
        <v>15</v>
      </c>
      <c r="B16" s="17" t="s">
        <v>185</v>
      </c>
      <c r="C16" s="14" t="s">
        <v>52</v>
      </c>
      <c r="D16" s="14" t="s">
        <v>37</v>
      </c>
      <c r="E16" s="12">
        <v>42714</v>
      </c>
      <c r="F16" s="13">
        <v>35</v>
      </c>
      <c r="G16" s="16">
        <f t="shared" si="11"/>
        <v>10.916666666666666</v>
      </c>
      <c r="H16" s="12" t="s">
        <v>39</v>
      </c>
      <c r="I16" s="12" t="s">
        <v>60</v>
      </c>
      <c r="J16" s="12">
        <v>42754</v>
      </c>
      <c r="K16" s="12">
        <v>43124</v>
      </c>
      <c r="L16" s="12">
        <v>42845</v>
      </c>
      <c r="M16" s="13">
        <v>5</v>
      </c>
      <c r="N16" s="12">
        <v>43199</v>
      </c>
      <c r="O16" s="13">
        <v>0</v>
      </c>
      <c r="P16" s="30" t="s">
        <v>174</v>
      </c>
      <c r="Q16" s="30" t="s">
        <v>174</v>
      </c>
      <c r="T16">
        <v>10.916666666666666</v>
      </c>
      <c r="U16">
        <v>5</v>
      </c>
      <c r="V16">
        <v>0</v>
      </c>
      <c r="X16" t="s">
        <v>12</v>
      </c>
      <c r="Y16">
        <f>MAX(T5:T28)</f>
        <v>175.5</v>
      </c>
      <c r="Z16">
        <f t="shared" ref="Z16:AA16" si="14">MAX(U5:U28)</f>
        <v>13</v>
      </c>
      <c r="AA16">
        <f t="shared" si="14"/>
        <v>2</v>
      </c>
      <c r="AC16" t="s">
        <v>112</v>
      </c>
      <c r="AD16">
        <v>0.05</v>
      </c>
      <c r="AE16">
        <v>0.05</v>
      </c>
      <c r="AF16">
        <v>0.05</v>
      </c>
    </row>
    <row r="17" spans="1:42" x14ac:dyDescent="0.25">
      <c r="A17" s="14">
        <v>16</v>
      </c>
      <c r="B17" s="18" t="s">
        <v>186</v>
      </c>
      <c r="C17" s="14" t="s">
        <v>52</v>
      </c>
      <c r="D17" s="14" t="s">
        <v>37</v>
      </c>
      <c r="E17" s="12">
        <v>41673</v>
      </c>
      <c r="F17" s="13">
        <v>2106</v>
      </c>
      <c r="G17" s="16">
        <f t="shared" si="11"/>
        <v>175.5</v>
      </c>
      <c r="H17" s="12" t="s">
        <v>174</v>
      </c>
      <c r="I17" s="12" t="s">
        <v>60</v>
      </c>
      <c r="J17" s="12">
        <v>41774</v>
      </c>
      <c r="K17" s="12" t="s">
        <v>174</v>
      </c>
      <c r="L17" s="12">
        <v>43779</v>
      </c>
      <c r="M17" s="13">
        <v>6</v>
      </c>
      <c r="N17" s="12">
        <v>43998</v>
      </c>
      <c r="O17" s="13">
        <v>0</v>
      </c>
      <c r="P17" s="30" t="s">
        <v>174</v>
      </c>
      <c r="Q17" s="30" t="s">
        <v>174</v>
      </c>
      <c r="T17">
        <v>175.5</v>
      </c>
      <c r="U17">
        <v>6</v>
      </c>
      <c r="V17">
        <v>0</v>
      </c>
      <c r="X17" t="s">
        <v>13</v>
      </c>
      <c r="Y17">
        <f>MIN(T5:T28)</f>
        <v>2</v>
      </c>
      <c r="Z17">
        <f t="shared" ref="Z17:AA17" si="15">MIN(U5:U28)</f>
        <v>1</v>
      </c>
      <c r="AA17">
        <f t="shared" si="15"/>
        <v>0</v>
      </c>
      <c r="AC17" s="73" t="s">
        <v>115</v>
      </c>
      <c r="AD17" s="77" t="str">
        <f>IF(AD15&lt;AD16,"no","yes")</f>
        <v>no</v>
      </c>
      <c r="AE17" s="77" t="str">
        <f t="shared" ref="AE17:AF17" si="16">IF(AE15&lt;AE16,"no","yes")</f>
        <v>yes</v>
      </c>
      <c r="AF17" s="77" t="str">
        <f t="shared" si="16"/>
        <v>no</v>
      </c>
    </row>
    <row r="18" spans="1:42" x14ac:dyDescent="0.25">
      <c r="A18" s="14">
        <v>17</v>
      </c>
      <c r="B18" s="18" t="s">
        <v>187</v>
      </c>
      <c r="C18" s="14" t="s">
        <v>44</v>
      </c>
      <c r="D18" s="14" t="s">
        <v>35</v>
      </c>
      <c r="E18" s="12">
        <v>43220</v>
      </c>
      <c r="F18" s="13">
        <v>58</v>
      </c>
      <c r="G18" s="16">
        <f t="shared" si="11"/>
        <v>46</v>
      </c>
      <c r="H18" s="12" t="s">
        <v>39</v>
      </c>
      <c r="I18" s="12" t="s">
        <v>60</v>
      </c>
      <c r="J18" s="12">
        <v>43462</v>
      </c>
      <c r="K18" s="12">
        <v>43770</v>
      </c>
      <c r="L18" s="12">
        <v>43772</v>
      </c>
      <c r="M18" s="13">
        <v>10</v>
      </c>
      <c r="N18" s="12">
        <v>44000</v>
      </c>
      <c r="O18" s="13">
        <v>0</v>
      </c>
      <c r="P18" s="30" t="s">
        <v>174</v>
      </c>
      <c r="Q18" s="30" t="s">
        <v>174</v>
      </c>
      <c r="T18">
        <v>46</v>
      </c>
      <c r="U18">
        <v>10</v>
      </c>
      <c r="V18">
        <v>0</v>
      </c>
      <c r="X18" t="s">
        <v>148</v>
      </c>
      <c r="Y18">
        <f>SUM(T5:T28)</f>
        <v>568.75000000000011</v>
      </c>
      <c r="Z18">
        <f t="shared" ref="Z18:AA18" si="17">SUM(U5:U28)</f>
        <v>152</v>
      </c>
      <c r="AA18">
        <f t="shared" si="17"/>
        <v>6</v>
      </c>
    </row>
    <row r="19" spans="1:42" x14ac:dyDescent="0.25">
      <c r="A19" s="14">
        <v>19</v>
      </c>
      <c r="B19" s="18" t="s">
        <v>188</v>
      </c>
      <c r="C19" s="14" t="s">
        <v>44</v>
      </c>
      <c r="D19" s="14" t="s">
        <v>37</v>
      </c>
      <c r="E19" s="12">
        <v>43281</v>
      </c>
      <c r="F19" s="13">
        <v>5</v>
      </c>
      <c r="G19" s="16">
        <f t="shared" si="11"/>
        <v>15.916666666666666</v>
      </c>
      <c r="H19" s="12" t="s">
        <v>39</v>
      </c>
      <c r="I19" s="12" t="s">
        <v>60</v>
      </c>
      <c r="J19" s="12">
        <v>43375</v>
      </c>
      <c r="K19" s="12">
        <v>43747</v>
      </c>
      <c r="L19" s="12">
        <v>43472</v>
      </c>
      <c r="M19" s="13">
        <v>7</v>
      </c>
      <c r="N19" s="12">
        <v>43881</v>
      </c>
      <c r="O19" s="13">
        <v>0</v>
      </c>
      <c r="P19" s="30" t="s">
        <v>174</v>
      </c>
      <c r="Q19" s="30" t="s">
        <v>174</v>
      </c>
      <c r="T19">
        <v>15.916666666666666</v>
      </c>
      <c r="U19">
        <v>7</v>
      </c>
      <c r="V19">
        <v>0</v>
      </c>
      <c r="X19" t="s">
        <v>103</v>
      </c>
      <c r="Y19">
        <f>COUNT(T5:T28)</f>
        <v>24</v>
      </c>
      <c r="Z19">
        <f t="shared" ref="Z19:AA19" si="18">COUNT(U5:U28)</f>
        <v>24</v>
      </c>
      <c r="AA19">
        <f t="shared" si="18"/>
        <v>24</v>
      </c>
    </row>
    <row r="20" spans="1:42" x14ac:dyDescent="0.25">
      <c r="A20" s="35">
        <v>20</v>
      </c>
      <c r="B20" s="40" t="s">
        <v>111</v>
      </c>
      <c r="C20" s="35" t="s">
        <v>52</v>
      </c>
      <c r="D20" s="14" t="s">
        <v>37</v>
      </c>
      <c r="E20" s="12">
        <v>43630</v>
      </c>
      <c r="F20" s="13">
        <v>168</v>
      </c>
      <c r="G20" s="16">
        <f t="shared" si="11"/>
        <v>14</v>
      </c>
      <c r="H20" s="12" t="s">
        <v>174</v>
      </c>
      <c r="I20" s="12" t="s">
        <v>60</v>
      </c>
      <c r="J20" s="12">
        <v>43767</v>
      </c>
      <c r="K20" s="12" t="s">
        <v>174</v>
      </c>
      <c r="L20" s="12">
        <v>43798</v>
      </c>
      <c r="M20" s="13">
        <v>2</v>
      </c>
      <c r="N20" s="12">
        <v>43875</v>
      </c>
      <c r="O20" s="13">
        <v>0</v>
      </c>
      <c r="P20" s="30" t="s">
        <v>174</v>
      </c>
      <c r="Q20" s="30" t="s">
        <v>174</v>
      </c>
      <c r="T20">
        <v>14</v>
      </c>
      <c r="U20">
        <v>2</v>
      </c>
      <c r="V20">
        <v>0</v>
      </c>
      <c r="X20" t="s">
        <v>155</v>
      </c>
      <c r="Y20">
        <f>GEOMEAN(T5:T28)</f>
        <v>16.16877959925025</v>
      </c>
      <c r="Z20">
        <f t="shared" ref="Z20:AA20" si="19">GEOMEAN(U5:U28)</f>
        <v>5.0291950406597712</v>
      </c>
      <c r="AA20" t="e">
        <f t="shared" si="19"/>
        <v>#NUM!</v>
      </c>
    </row>
    <row r="21" spans="1:42" x14ac:dyDescent="0.25">
      <c r="A21" s="14">
        <v>21</v>
      </c>
      <c r="B21" s="19" t="s">
        <v>189</v>
      </c>
      <c r="C21" s="14" t="s">
        <v>52</v>
      </c>
      <c r="D21" s="14" t="s">
        <v>37</v>
      </c>
      <c r="E21" s="12">
        <v>43628</v>
      </c>
      <c r="F21" s="13">
        <v>159</v>
      </c>
      <c r="G21" s="16">
        <f t="shared" si="11"/>
        <v>13.25</v>
      </c>
      <c r="H21" s="12" t="s">
        <v>174</v>
      </c>
      <c r="I21" s="12" t="s">
        <v>60</v>
      </c>
      <c r="J21" s="12">
        <v>43767</v>
      </c>
      <c r="K21" s="12" t="s">
        <v>174</v>
      </c>
      <c r="L21" s="12">
        <v>43787</v>
      </c>
      <c r="M21" s="13">
        <v>2</v>
      </c>
      <c r="N21" s="12">
        <v>43909</v>
      </c>
      <c r="O21" s="13">
        <v>0</v>
      </c>
      <c r="P21" s="30" t="s">
        <v>174</v>
      </c>
      <c r="Q21" s="30" t="s">
        <v>174</v>
      </c>
      <c r="T21">
        <v>13.25</v>
      </c>
      <c r="U21">
        <v>2</v>
      </c>
      <c r="V21">
        <v>0</v>
      </c>
      <c r="X21" t="s">
        <v>158</v>
      </c>
      <c r="Y21">
        <f>HARMEAN(T5:T28)</f>
        <v>11.827179211219592</v>
      </c>
      <c r="Z21">
        <f t="shared" ref="Z21:AA21" si="20">HARMEAN(U5:U28)</f>
        <v>3.7871522223569953</v>
      </c>
      <c r="AA21" t="e">
        <f t="shared" si="20"/>
        <v>#NUM!</v>
      </c>
    </row>
    <row r="22" spans="1:42" x14ac:dyDescent="0.25">
      <c r="A22" s="14">
        <v>22</v>
      </c>
      <c r="B22" s="19" t="s">
        <v>190</v>
      </c>
      <c r="C22" s="14" t="s">
        <v>52</v>
      </c>
      <c r="D22" s="14" t="s">
        <v>35</v>
      </c>
      <c r="E22" s="12">
        <v>43665</v>
      </c>
      <c r="F22" s="13">
        <v>134</v>
      </c>
      <c r="G22" s="16">
        <f t="shared" si="11"/>
        <v>21</v>
      </c>
      <c r="H22" s="12" t="s">
        <v>39</v>
      </c>
      <c r="I22" s="12" t="s">
        <v>60</v>
      </c>
      <c r="J22" s="12">
        <v>43773</v>
      </c>
      <c r="K22" s="12" t="s">
        <v>174</v>
      </c>
      <c r="L22" s="12">
        <v>43917</v>
      </c>
      <c r="M22" s="13">
        <v>1</v>
      </c>
      <c r="N22" s="12">
        <v>44166</v>
      </c>
      <c r="O22" s="13">
        <v>0</v>
      </c>
      <c r="P22" s="30" t="s">
        <v>174</v>
      </c>
      <c r="Q22" s="30" t="s">
        <v>174</v>
      </c>
      <c r="T22">
        <v>21</v>
      </c>
      <c r="U22">
        <v>1</v>
      </c>
      <c r="V22">
        <v>0</v>
      </c>
      <c r="X22" t="s">
        <v>161</v>
      </c>
      <c r="Y22">
        <f>AVEDEV(T5:T28)</f>
        <v>15.875868055555555</v>
      </c>
      <c r="Z22">
        <f t="shared" ref="Z22:AA22" si="21">AVEDEV(U5:U28)</f>
        <v>3.3333333333333335</v>
      </c>
      <c r="AA22">
        <f t="shared" si="21"/>
        <v>0.41666666666666669</v>
      </c>
      <c r="AD22" t="s">
        <v>93</v>
      </c>
      <c r="AN22" t="s">
        <v>94</v>
      </c>
    </row>
    <row r="23" spans="1:42" x14ac:dyDescent="0.25">
      <c r="A23" s="14">
        <v>23</v>
      </c>
      <c r="B23" s="20" t="s">
        <v>191</v>
      </c>
      <c r="C23" s="14" t="s">
        <v>44</v>
      </c>
      <c r="D23" s="14" t="s">
        <v>37</v>
      </c>
      <c r="E23" s="12">
        <v>43353</v>
      </c>
      <c r="F23" s="13">
        <v>386</v>
      </c>
      <c r="G23" s="16">
        <f t="shared" si="11"/>
        <v>32.166666666666664</v>
      </c>
      <c r="H23" s="12" t="s">
        <v>174</v>
      </c>
      <c r="I23" s="12" t="s">
        <v>60</v>
      </c>
      <c r="J23" s="12">
        <v>43731</v>
      </c>
      <c r="K23" s="12" t="s">
        <v>174</v>
      </c>
      <c r="L23" s="12">
        <v>43739</v>
      </c>
      <c r="M23" s="13">
        <v>13</v>
      </c>
      <c r="N23" s="12">
        <v>44180</v>
      </c>
      <c r="O23" s="13">
        <v>0</v>
      </c>
      <c r="P23" s="30" t="s">
        <v>174</v>
      </c>
      <c r="Q23" s="30" t="s">
        <v>174</v>
      </c>
      <c r="T23">
        <v>32.166666666666664</v>
      </c>
      <c r="U23">
        <v>13</v>
      </c>
      <c r="V23">
        <v>0</v>
      </c>
      <c r="X23" t="s">
        <v>163</v>
      </c>
      <c r="Y23">
        <f>[1]!MAD(T5:T28)</f>
        <v>4.9583333333333339</v>
      </c>
      <c r="Z23">
        <f>[1]!MAD(U5:U28)</f>
        <v>3.5</v>
      </c>
      <c r="AA23">
        <f>[1]!MAD(V5:V28)</f>
        <v>0</v>
      </c>
    </row>
    <row r="24" spans="1:42" ht="15.75" thickBot="1" x14ac:dyDescent="0.3">
      <c r="A24" s="14">
        <v>24</v>
      </c>
      <c r="B24" s="20" t="s">
        <v>192</v>
      </c>
      <c r="C24" s="14" t="s">
        <v>52</v>
      </c>
      <c r="D24" s="14" t="s">
        <v>35</v>
      </c>
      <c r="E24" s="12">
        <v>43620</v>
      </c>
      <c r="F24" s="13">
        <v>190</v>
      </c>
      <c r="G24" s="16">
        <f t="shared" si="11"/>
        <v>15.833333333333334</v>
      </c>
      <c r="H24" s="12" t="s">
        <v>174</v>
      </c>
      <c r="I24" s="12" t="s">
        <v>60</v>
      </c>
      <c r="J24" s="12">
        <v>43773</v>
      </c>
      <c r="K24" s="12" t="s">
        <v>174</v>
      </c>
      <c r="L24" s="12">
        <v>43810</v>
      </c>
      <c r="M24" s="13">
        <v>3</v>
      </c>
      <c r="N24" s="12">
        <v>43951</v>
      </c>
      <c r="O24" s="13">
        <v>0</v>
      </c>
      <c r="P24" s="30" t="s">
        <v>174</v>
      </c>
      <c r="Q24" s="30" t="s">
        <v>174</v>
      </c>
      <c r="T24">
        <v>15.833333333333334</v>
      </c>
      <c r="U24">
        <v>3</v>
      </c>
      <c r="V24">
        <v>0</v>
      </c>
      <c r="X24" s="73" t="s">
        <v>14</v>
      </c>
      <c r="Y24" s="73">
        <f>[1]!IQR(T5:T28,FALSE)</f>
        <v>10.270833333333334</v>
      </c>
      <c r="Z24" s="73">
        <f>[1]!IQR(U5:U28,FALSE)</f>
        <v>6.5</v>
      </c>
      <c r="AA24" s="73">
        <f>[1]!IQR(V5:V28,FALSE)</f>
        <v>0</v>
      </c>
      <c r="AD24" t="s">
        <v>98</v>
      </c>
      <c r="AG24" t="s">
        <v>99</v>
      </c>
      <c r="AH24">
        <v>0.05</v>
      </c>
      <c r="AJ24" t="s">
        <v>100</v>
      </c>
      <c r="AK24">
        <v>0</v>
      </c>
      <c r="AO24" t="str">
        <f>U4</f>
        <v>FISURA  (mm) T1</v>
      </c>
      <c r="AP24" t="str">
        <f>V4</f>
        <v>FISURA  (mm) T2</v>
      </c>
    </row>
    <row r="25" spans="1:42" ht="15.75" thickTop="1" x14ac:dyDescent="0.25">
      <c r="A25" s="14">
        <v>25</v>
      </c>
      <c r="B25" s="20" t="s">
        <v>193</v>
      </c>
      <c r="C25" s="14" t="s">
        <v>52</v>
      </c>
      <c r="D25" s="14" t="s">
        <v>37</v>
      </c>
      <c r="E25" s="23" t="s">
        <v>194</v>
      </c>
      <c r="F25" s="22">
        <v>50</v>
      </c>
      <c r="G25" s="16">
        <f t="shared" si="11"/>
        <v>11.25</v>
      </c>
      <c r="H25" s="12" t="s">
        <v>39</v>
      </c>
      <c r="I25" s="12" t="s">
        <v>60</v>
      </c>
      <c r="J25" s="23" t="s">
        <v>195</v>
      </c>
      <c r="K25" s="23" t="s">
        <v>196</v>
      </c>
      <c r="L25" s="23">
        <v>45274</v>
      </c>
      <c r="M25" s="13">
        <v>3</v>
      </c>
      <c r="N25" s="23">
        <v>44951</v>
      </c>
      <c r="O25" s="13">
        <v>2</v>
      </c>
      <c r="P25" s="30" t="s">
        <v>174</v>
      </c>
      <c r="Q25" s="30" t="s">
        <v>174</v>
      </c>
      <c r="T25">
        <v>11.25</v>
      </c>
      <c r="U25">
        <v>3</v>
      </c>
      <c r="V25">
        <v>2</v>
      </c>
      <c r="AD25" s="79" t="s">
        <v>102</v>
      </c>
      <c r="AE25" s="79" t="s">
        <v>103</v>
      </c>
      <c r="AF25" s="79" t="s">
        <v>9</v>
      </c>
      <c r="AG25" s="79" t="s">
        <v>104</v>
      </c>
      <c r="AH25" s="79" t="s">
        <v>105</v>
      </c>
      <c r="AI25" s="79" t="s">
        <v>106</v>
      </c>
      <c r="AJ25" s="79" t="s">
        <v>107</v>
      </c>
      <c r="AK25" s="79" t="s">
        <v>108</v>
      </c>
      <c r="AL25" s="79" t="s">
        <v>109</v>
      </c>
      <c r="AN25" t="s">
        <v>110</v>
      </c>
      <c r="AO25" s="89">
        <f>MEDIAN(U5:U28)</f>
        <v>6.5</v>
      </c>
      <c r="AP25" s="90">
        <f>MEDIAN(V5:V28)</f>
        <v>0</v>
      </c>
    </row>
    <row r="26" spans="1:42" x14ac:dyDescent="0.25">
      <c r="A26" s="14">
        <v>36</v>
      </c>
      <c r="B26" s="21" t="s">
        <v>154</v>
      </c>
      <c r="C26" s="22" t="s">
        <v>44</v>
      </c>
      <c r="D26" s="14" t="s">
        <v>37</v>
      </c>
      <c r="E26" s="23">
        <v>45200</v>
      </c>
      <c r="F26" s="22">
        <v>1</v>
      </c>
      <c r="G26" s="16">
        <f t="shared" si="11"/>
        <v>8.5833333333333339</v>
      </c>
      <c r="H26" s="12" t="s">
        <v>39</v>
      </c>
      <c r="I26" s="12" t="s">
        <v>60</v>
      </c>
      <c r="J26" s="23">
        <v>45303</v>
      </c>
      <c r="K26" s="22"/>
      <c r="L26" s="23">
        <v>45303</v>
      </c>
      <c r="M26" s="13">
        <v>2</v>
      </c>
      <c r="N26" s="23">
        <v>45332</v>
      </c>
      <c r="O26" s="13">
        <v>2</v>
      </c>
      <c r="P26" s="30" t="s">
        <v>174</v>
      </c>
      <c r="Q26" s="30" t="s">
        <v>174</v>
      </c>
      <c r="T26">
        <v>8.5833333333333339</v>
      </c>
      <c r="U26">
        <v>2</v>
      </c>
      <c r="V26">
        <v>2</v>
      </c>
      <c r="AD26" t="str">
        <f>U4</f>
        <v>FISURA  (mm) T1</v>
      </c>
      <c r="AE26">
        <f>COUNT(U5:U28)</f>
        <v>24</v>
      </c>
      <c r="AF26">
        <f>AVERAGE(U5:U28)</f>
        <v>6.333333333333333</v>
      </c>
      <c r="AG26">
        <f>_xlfn.STDEV.S(U5:U28)</f>
        <v>3.8748539009391294</v>
      </c>
    </row>
    <row r="27" spans="1:42" x14ac:dyDescent="0.25">
      <c r="A27" s="14">
        <v>37</v>
      </c>
      <c r="B27" s="15" t="s">
        <v>157</v>
      </c>
      <c r="C27" s="22" t="s">
        <v>44</v>
      </c>
      <c r="D27" s="14" t="s">
        <v>37</v>
      </c>
      <c r="E27" s="23">
        <v>45140</v>
      </c>
      <c r="F27" s="22"/>
      <c r="G27" s="16">
        <f t="shared" si="11"/>
        <v>7.333333333333333</v>
      </c>
      <c r="H27" s="12" t="s">
        <v>39</v>
      </c>
      <c r="I27" s="12" t="s">
        <v>60</v>
      </c>
      <c r="J27" s="23">
        <v>45214</v>
      </c>
      <c r="K27" s="23">
        <v>44943</v>
      </c>
      <c r="L27" s="23">
        <v>45228</v>
      </c>
      <c r="M27" s="13">
        <v>2</v>
      </c>
      <c r="N27" s="23">
        <v>45279</v>
      </c>
      <c r="O27" s="13">
        <v>1</v>
      </c>
      <c r="P27" s="30" t="s">
        <v>174</v>
      </c>
      <c r="Q27" s="30" t="s">
        <v>174</v>
      </c>
      <c r="T27">
        <v>7.333333333333333</v>
      </c>
      <c r="U27">
        <v>2</v>
      </c>
      <c r="V27">
        <v>1</v>
      </c>
      <c r="AD27" t="str">
        <f>V4</f>
        <v>FISURA  (mm) T2</v>
      </c>
      <c r="AE27">
        <f>COUNT(V5:V28)</f>
        <v>24</v>
      </c>
      <c r="AF27">
        <f>AVERAGE(V5:V28)</f>
        <v>0.25</v>
      </c>
      <c r="AG27">
        <f>_xlfn.STDEV.S(V5:V28)</f>
        <v>0.60791875887432878</v>
      </c>
      <c r="AN27" t="s">
        <v>116</v>
      </c>
      <c r="AO27" s="62">
        <f>SUMPRODUCT(--ISNUMBER(U5:U28),--ISNUMBER(V5:V28))</f>
        <v>24</v>
      </c>
    </row>
    <row r="28" spans="1:42" x14ac:dyDescent="0.25">
      <c r="A28" s="14">
        <v>38</v>
      </c>
      <c r="B28" s="20" t="s">
        <v>160</v>
      </c>
      <c r="C28" s="14" t="s">
        <v>52</v>
      </c>
      <c r="D28" s="14" t="s">
        <v>37</v>
      </c>
      <c r="E28" s="41">
        <v>45140</v>
      </c>
      <c r="F28" s="44"/>
      <c r="G28" s="16">
        <f t="shared" si="11"/>
        <v>7.333333333333333</v>
      </c>
      <c r="H28" s="44"/>
      <c r="I28" s="12" t="s">
        <v>60</v>
      </c>
      <c r="J28" s="44"/>
      <c r="K28" s="44"/>
      <c r="L28" s="45">
        <v>45228</v>
      </c>
      <c r="M28" s="13">
        <v>2</v>
      </c>
      <c r="N28" s="45">
        <v>45279</v>
      </c>
      <c r="O28" s="13">
        <v>1</v>
      </c>
      <c r="P28" s="30" t="s">
        <v>174</v>
      </c>
      <c r="Q28" s="30" t="s">
        <v>174</v>
      </c>
      <c r="T28">
        <v>7.333333333333333</v>
      </c>
      <c r="U28">
        <v>2</v>
      </c>
      <c r="V28">
        <v>1</v>
      </c>
      <c r="Y28" t="s">
        <v>40</v>
      </c>
      <c r="Z28" t="s">
        <v>63</v>
      </c>
      <c r="AA28" t="s">
        <v>48</v>
      </c>
      <c r="AD28" s="78" t="s">
        <v>119</v>
      </c>
      <c r="AE28" s="78">
        <f>AE27</f>
        <v>24</v>
      </c>
      <c r="AF28" s="78">
        <f>AF26-AF27</f>
        <v>6.083333333333333</v>
      </c>
      <c r="AG28" s="78">
        <f t="array" ref="AG28">_xlfn.STDEV.S(U5:U28-V5:V28)</f>
        <v>4.1798342661825272</v>
      </c>
      <c r="AH28" s="78">
        <f>AG28/SQRT(AE28)</f>
        <v>0.85320509679564616</v>
      </c>
      <c r="AI28" s="78">
        <f>(AF26-AF27-AK24)/AH28</f>
        <v>7.129977723035533</v>
      </c>
      <c r="AJ28" s="78">
        <f>AE28-1</f>
        <v>23</v>
      </c>
      <c r="AK28" s="78">
        <f>ABS(AF26-AF27-AK24)/AG28</f>
        <v>1.4554006082373416</v>
      </c>
      <c r="AL28" s="78">
        <f>SQRT(AI28^2/(AI28^2+AJ28))</f>
        <v>0.82975977968907599</v>
      </c>
      <c r="AN28" t="s">
        <v>120</v>
      </c>
      <c r="AO28" s="63">
        <f>SUMPRODUCT(--ISNUMBER(U5:U28),--ISNUMBER(V5:V28),--(U5:U28&lt;&gt;V5:V28))</f>
        <v>23</v>
      </c>
    </row>
    <row r="29" spans="1:42" x14ac:dyDescent="0.25">
      <c r="X29" t="s">
        <v>103</v>
      </c>
      <c r="Y29">
        <v>24</v>
      </c>
      <c r="Z29">
        <v>24</v>
      </c>
      <c r="AA29">
        <v>24</v>
      </c>
      <c r="AN29" t="s">
        <v>124</v>
      </c>
      <c r="AO29" s="63">
        <f>IF(AO31&lt;=AO34,AO31,AO28*(AO28+1)/2)</f>
        <v>0</v>
      </c>
    </row>
    <row r="30" spans="1:42" ht="15.75" thickBot="1" x14ac:dyDescent="0.3">
      <c r="X30" t="s">
        <v>9</v>
      </c>
      <c r="Y30">
        <v>23.697916666666671</v>
      </c>
      <c r="Z30">
        <v>6.333333333333333</v>
      </c>
      <c r="AA30">
        <v>0.25</v>
      </c>
      <c r="AD30" t="s">
        <v>127</v>
      </c>
      <c r="AN30" t="s">
        <v>128</v>
      </c>
      <c r="AO30" s="63">
        <f>AO28*(AO28+1)/2-AO29</f>
        <v>276</v>
      </c>
    </row>
    <row r="31" spans="1:42" ht="15.75" thickTop="1" x14ac:dyDescent="0.25">
      <c r="X31" t="s">
        <v>10</v>
      </c>
      <c r="Y31">
        <v>6.8697824816444308</v>
      </c>
      <c r="Z31">
        <v>0.79095124042781528</v>
      </c>
      <c r="AA31">
        <v>0.12409089702567905</v>
      </c>
      <c r="AD31" s="79" t="s">
        <v>133</v>
      </c>
      <c r="AE31" s="79" t="s">
        <v>18</v>
      </c>
      <c r="AF31" s="79" t="s">
        <v>134</v>
      </c>
      <c r="AG31" s="79" t="s">
        <v>135</v>
      </c>
      <c r="AH31" s="79" t="s">
        <v>136</v>
      </c>
      <c r="AI31" s="79" t="s">
        <v>137</v>
      </c>
      <c r="AN31" t="s">
        <v>138</v>
      </c>
      <c r="AO31" s="64">
        <f>[1]!SRANK(U5:U28,V5:V28)</f>
        <v>0</v>
      </c>
    </row>
    <row r="32" spans="1:42" x14ac:dyDescent="0.25">
      <c r="X32" t="s">
        <v>11</v>
      </c>
      <c r="Y32">
        <v>15.541666666666668</v>
      </c>
      <c r="Z32">
        <v>6.5</v>
      </c>
      <c r="AA32">
        <v>0</v>
      </c>
      <c r="AD32" t="s">
        <v>141</v>
      </c>
      <c r="AE32">
        <f>_xlfn.T.DIST.RT(ABS(AI28),AJ28)</f>
        <v>1.4573495087022207E-7</v>
      </c>
      <c r="AF32">
        <f>_xlfn.T.INV.2T(AH24*2,AJ28)</f>
        <v>1.7138715277470482</v>
      </c>
      <c r="AI32" s="33" t="str">
        <f>IF(AE32&lt;AH24,"yes","no")</f>
        <v>yes</v>
      </c>
    </row>
    <row r="33" spans="24:42" x14ac:dyDescent="0.25">
      <c r="X33" t="s">
        <v>12</v>
      </c>
      <c r="Y33">
        <v>175.5</v>
      </c>
      <c r="Z33">
        <v>13</v>
      </c>
      <c r="AA33">
        <v>2</v>
      </c>
      <c r="AD33" t="s">
        <v>143</v>
      </c>
      <c r="AE33">
        <f>_xlfn.T.DIST.2T(ABS(AI28),AJ28)</f>
        <v>2.9146990174044413E-7</v>
      </c>
      <c r="AF33">
        <f>_xlfn.T.INV.2T(AH24,AJ28)</f>
        <v>2.0686576104190491</v>
      </c>
      <c r="AG33">
        <f>(AF26-AF27)-AH28*AF33</f>
        <v>4.3183441165986984</v>
      </c>
      <c r="AH33">
        <f>(AF26-AF27)+AH28*AF33</f>
        <v>7.8483225500679676</v>
      </c>
      <c r="AI33" s="33" t="str">
        <f>IF(AE33&lt;AH24,"yes","no")</f>
        <v>yes</v>
      </c>
      <c r="AO33" s="33" t="s">
        <v>144</v>
      </c>
      <c r="AP33" s="33" t="s">
        <v>145</v>
      </c>
    </row>
    <row r="34" spans="24:42" x14ac:dyDescent="0.25">
      <c r="X34" t="s">
        <v>13</v>
      </c>
      <c r="Y34">
        <v>2</v>
      </c>
      <c r="Z34">
        <v>1</v>
      </c>
      <c r="AA34">
        <v>0</v>
      </c>
      <c r="AD34" s="78"/>
      <c r="AE34" s="78"/>
      <c r="AF34" s="78"/>
      <c r="AG34" s="78"/>
      <c r="AH34" s="78"/>
      <c r="AI34" s="78"/>
      <c r="AN34" t="s">
        <v>30</v>
      </c>
      <c r="AO34" s="62">
        <f>AO28*(AO28+1)/4</f>
        <v>138</v>
      </c>
    </row>
    <row r="35" spans="24:42" x14ac:dyDescent="0.25">
      <c r="X35" t="s">
        <v>14</v>
      </c>
      <c r="Y35">
        <v>10.270833333333334</v>
      </c>
      <c r="Z35">
        <v>6.5</v>
      </c>
      <c r="AA35">
        <v>0</v>
      </c>
      <c r="AN35" t="s">
        <v>149</v>
      </c>
      <c r="AO35" s="63">
        <f>SQRT(AO34*(2*AO28+1)/6-[1]!TiesCorrection(U5:U28,V5:V28,1)/48)</f>
        <v>32.84242682872263</v>
      </c>
      <c r="AP35" t="s">
        <v>150</v>
      </c>
    </row>
    <row r="36" spans="24:42" x14ac:dyDescent="0.25">
      <c r="X36" t="s">
        <v>18</v>
      </c>
      <c r="Y36">
        <v>2.0221602170522601E-12</v>
      </c>
      <c r="Z36">
        <v>9.9394935276144958E-2</v>
      </c>
      <c r="AA36">
        <v>6.9992064647417251E-6</v>
      </c>
      <c r="AN36" t="s">
        <v>152</v>
      </c>
      <c r="AO36" s="63">
        <f>ABS(ABS(AO31-AO34)-1/2)/AO35</f>
        <v>4.1866577252978203</v>
      </c>
      <c r="AP36" t="s">
        <v>153</v>
      </c>
    </row>
    <row r="37" spans="24:42" x14ac:dyDescent="0.25">
      <c r="AN37" t="s">
        <v>156</v>
      </c>
      <c r="AO37" s="63">
        <f>AO36/SQRT(AO28)</f>
        <v>0.87297848244800058</v>
      </c>
    </row>
    <row r="38" spans="24:42" x14ac:dyDescent="0.25">
      <c r="AN38" t="s">
        <v>159</v>
      </c>
      <c r="AO38" s="62">
        <f>1-_xlfn.NORM.S.DIST(AO36,TRUE)</f>
        <v>1.4154611644001669E-5</v>
      </c>
      <c r="AP38" s="83">
        <f>2*AO38</f>
        <v>2.8309223288003338E-5</v>
      </c>
    </row>
    <row r="39" spans="24:42" x14ac:dyDescent="0.25">
      <c r="AN39" t="s">
        <v>162</v>
      </c>
      <c r="AO39" s="63">
        <f>[1]!SRDIST(AO31,AO28,1)</f>
        <v>1.1920928955078125E-7</v>
      </c>
      <c r="AP39" s="84">
        <f>2*AO39</f>
        <v>2.384185791015625E-7</v>
      </c>
    </row>
    <row r="40" spans="24:42" x14ac:dyDescent="0.25">
      <c r="Y40" t="s">
        <v>103</v>
      </c>
      <c r="Z40" t="s">
        <v>9</v>
      </c>
      <c r="AA40" t="s">
        <v>10</v>
      </c>
      <c r="AB40" t="s">
        <v>11</v>
      </c>
      <c r="AC40" t="s">
        <v>12</v>
      </c>
      <c r="AD40" t="s">
        <v>13</v>
      </c>
      <c r="AE40" t="s">
        <v>14</v>
      </c>
      <c r="AF40" t="s">
        <v>18</v>
      </c>
      <c r="AN40" t="s">
        <v>164</v>
      </c>
      <c r="AO40" s="64" t="s">
        <v>47</v>
      </c>
      <c r="AP40" s="85" t="s">
        <v>47</v>
      </c>
    </row>
    <row r="41" spans="24:42" x14ac:dyDescent="0.25">
      <c r="X41" t="s">
        <v>40</v>
      </c>
      <c r="Y41">
        <v>24</v>
      </c>
      <c r="Z41">
        <v>23.697916666666671</v>
      </c>
      <c r="AA41">
        <v>6.8697824816444308</v>
      </c>
      <c r="AB41">
        <v>15.541666666666668</v>
      </c>
      <c r="AC41">
        <v>175.5</v>
      </c>
      <c r="AD41">
        <v>2</v>
      </c>
      <c r="AE41">
        <v>10.270833333333334</v>
      </c>
      <c r="AF41">
        <v>2.0221602170522601E-12</v>
      </c>
    </row>
    <row r="42" spans="24:42" x14ac:dyDescent="0.25">
      <c r="X42" t="s">
        <v>63</v>
      </c>
      <c r="Y42">
        <v>24</v>
      </c>
      <c r="Z42">
        <v>6.333333333333333</v>
      </c>
      <c r="AA42">
        <v>0.79095124042781528</v>
      </c>
      <c r="AB42">
        <v>6.5</v>
      </c>
      <c r="AC42">
        <v>13</v>
      </c>
      <c r="AD42">
        <v>1</v>
      </c>
      <c r="AE42">
        <v>6.5</v>
      </c>
      <c r="AF42">
        <v>9.9394935276144958E-2</v>
      </c>
    </row>
    <row r="43" spans="24:42" x14ac:dyDescent="0.25">
      <c r="X43" t="s">
        <v>48</v>
      </c>
      <c r="Y43">
        <v>24</v>
      </c>
      <c r="Z43">
        <v>0.25</v>
      </c>
      <c r="AA43">
        <v>0.12409089702567905</v>
      </c>
      <c r="AB43">
        <v>0</v>
      </c>
      <c r="AC43">
        <v>2</v>
      </c>
      <c r="AD43">
        <v>0</v>
      </c>
      <c r="AE43">
        <v>0</v>
      </c>
      <c r="AF43">
        <v>6.9992064647417251E-6</v>
      </c>
    </row>
    <row r="56" spans="21:43" x14ac:dyDescent="0.25">
      <c r="U56" t="s">
        <v>39</v>
      </c>
      <c r="V56" t="s">
        <v>60</v>
      </c>
      <c r="W56" t="s">
        <v>39</v>
      </c>
      <c r="X56" t="s">
        <v>39</v>
      </c>
      <c r="Y56" t="s">
        <v>60</v>
      </c>
      <c r="Z56" t="s">
        <v>60</v>
      </c>
      <c r="AC56" t="s">
        <v>90</v>
      </c>
      <c r="AK56" t="s">
        <v>91</v>
      </c>
    </row>
    <row r="57" spans="21:43" x14ac:dyDescent="0.25">
      <c r="U57" s="32" t="s">
        <v>40</v>
      </c>
      <c r="V57" t="s">
        <v>40</v>
      </c>
      <c r="W57" s="32" t="s">
        <v>48</v>
      </c>
      <c r="X57" s="32" t="s">
        <v>48</v>
      </c>
      <c r="Y57" t="s">
        <v>63</v>
      </c>
      <c r="Z57" t="s">
        <v>48</v>
      </c>
    </row>
    <row r="58" spans="21:43" x14ac:dyDescent="0.25">
      <c r="U58" t="s">
        <v>41</v>
      </c>
      <c r="V58" t="s">
        <v>50</v>
      </c>
      <c r="W58" t="s">
        <v>43</v>
      </c>
      <c r="X58" t="s">
        <v>43</v>
      </c>
      <c r="Y58" t="s">
        <v>51</v>
      </c>
      <c r="Z58" t="s">
        <v>56</v>
      </c>
      <c r="AC58" s="74"/>
      <c r="AD58" s="74" t="str">
        <f>U58</f>
        <v>BNP1.EDAD (MESES)</v>
      </c>
      <c r="AE58" s="74" t="str">
        <f t="shared" ref="AE58:AI58" si="22">V58</f>
        <v>BNP3.EDAD (MESES)</v>
      </c>
      <c r="AF58" s="74" t="str">
        <f t="shared" si="22"/>
        <v>BNP1.FISURA  (mm) T2</v>
      </c>
      <c r="AG58" s="74" t="str">
        <f t="shared" si="22"/>
        <v>BNP1.FISURA  (mm) T2</v>
      </c>
      <c r="AH58" s="74" t="str">
        <f t="shared" si="22"/>
        <v>BNP3.FISURA  (mm) T1</v>
      </c>
      <c r="AI58" s="74" t="str">
        <f t="shared" si="22"/>
        <v>BNP3.FISURA  (mm) T2</v>
      </c>
      <c r="AK58" s="74"/>
      <c r="AL58" s="74" t="str">
        <f>U58</f>
        <v>BNP1.EDAD (MESES)</v>
      </c>
      <c r="AM58" s="74" t="str">
        <f t="shared" ref="AM58:AQ58" si="23">V58</f>
        <v>BNP3.EDAD (MESES)</v>
      </c>
      <c r="AN58" s="74" t="str">
        <f t="shared" si="23"/>
        <v>BNP1.FISURA  (mm) T2</v>
      </c>
      <c r="AO58" s="74" t="str">
        <f t="shared" si="23"/>
        <v>BNP1.FISURA  (mm) T2</v>
      </c>
      <c r="AP58" s="74" t="str">
        <f t="shared" si="23"/>
        <v>BNP3.FISURA  (mm) T1</v>
      </c>
      <c r="AQ58" s="74" t="str">
        <f t="shared" si="23"/>
        <v>BNP3.FISURA  (mm) T2</v>
      </c>
    </row>
    <row r="59" spans="21:43" x14ac:dyDescent="0.25">
      <c r="U59" s="39">
        <v>0.25</v>
      </c>
      <c r="V59">
        <v>2</v>
      </c>
      <c r="W59" s="38">
        <v>13</v>
      </c>
      <c r="X59" s="38">
        <v>9</v>
      </c>
      <c r="Y59">
        <v>7</v>
      </c>
      <c r="Z59">
        <v>0</v>
      </c>
      <c r="AC59" t="s">
        <v>9</v>
      </c>
      <c r="AD59" s="61">
        <f>AVERAGE(U59:U82)</f>
        <v>1.7407407407407409</v>
      </c>
      <c r="AE59" s="61">
        <f t="shared" ref="AE59:AI59" si="24">AVERAGE(V59:V82)</f>
        <v>23.697916666666671</v>
      </c>
      <c r="AF59" s="61">
        <f t="shared" si="24"/>
        <v>11.611111111111111</v>
      </c>
      <c r="AG59" s="61">
        <f t="shared" si="24"/>
        <v>3.1666666666666665</v>
      </c>
      <c r="AH59" s="61">
        <f t="shared" si="24"/>
        <v>6.333333333333333</v>
      </c>
      <c r="AI59" s="61">
        <f t="shared" si="24"/>
        <v>0.25</v>
      </c>
      <c r="AK59" t="s">
        <v>97</v>
      </c>
      <c r="AL59">
        <f>[1]!SHAPIRO(U59:U82)</f>
        <v>0.45428078852891962</v>
      </c>
      <c r="AM59">
        <f>[1]!SHAPIRO(V59:V82)</f>
        <v>0.44351693653717922</v>
      </c>
      <c r="AN59">
        <f>[1]!SHAPIRO(W59:W82)</f>
        <v>0.90349319397612571</v>
      </c>
      <c r="AO59">
        <f>[1]!SHAPIRO(X59:X82)</f>
        <v>0.84467602438966627</v>
      </c>
      <c r="AP59">
        <f>[1]!SHAPIRO(Y59:Y82)</f>
        <v>0.92096378014738012</v>
      </c>
      <c r="AQ59">
        <f>[1]!SHAPIRO(Z59:Z82)</f>
        <v>0.46608903306349364</v>
      </c>
    </row>
    <row r="60" spans="21:43" x14ac:dyDescent="0.25">
      <c r="U60" s="39">
        <v>0.25</v>
      </c>
      <c r="V60">
        <v>25.333333333333332</v>
      </c>
      <c r="W60" s="38">
        <v>6</v>
      </c>
      <c r="X60" s="38">
        <v>2</v>
      </c>
      <c r="Y60">
        <v>9</v>
      </c>
      <c r="Z60">
        <v>0</v>
      </c>
      <c r="AC60" t="s">
        <v>10</v>
      </c>
      <c r="AD60">
        <f>_xlfn.STDEV.S(U59:U82)/SQRT(COUNT(U59:U82))</f>
        <v>1.0748344540096324</v>
      </c>
      <c r="AE60">
        <f t="shared" ref="AE60:AI60" si="25">_xlfn.STDEV.S(V59:V82)/SQRT(COUNT(V59:V82))</f>
        <v>6.8697824816444308</v>
      </c>
      <c r="AF60">
        <f t="shared" si="25"/>
        <v>0.77602510272419511</v>
      </c>
      <c r="AG60">
        <f t="shared" si="25"/>
        <v>0.54383051954347705</v>
      </c>
      <c r="AH60">
        <f t="shared" si="25"/>
        <v>0.79095124042781528</v>
      </c>
      <c r="AI60">
        <f t="shared" si="25"/>
        <v>0.12409089702567905</v>
      </c>
      <c r="AK60" t="s">
        <v>18</v>
      </c>
      <c r="AL60">
        <f>[1]!SWTEST(U59:U82)</f>
        <v>3.2949568096185544E-7</v>
      </c>
      <c r="AM60">
        <f>[1]!SWTEST(V59:V82)</f>
        <v>1.6655858914305099E-8</v>
      </c>
      <c r="AN60">
        <f>[1]!SWTEST(W59:W82)</f>
        <v>6.6121888652526106E-2</v>
      </c>
      <c r="AO60">
        <f>[1]!SWTEST(X59:X82)</f>
        <v>6.9880841294743812E-3</v>
      </c>
      <c r="AP60">
        <f>[1]!SWTEST(Y59:Y82)</f>
        <v>6.1347533981566449E-2</v>
      </c>
      <c r="AQ60">
        <f>[1]!SWTEST(Z59:Z82)</f>
        <v>2.6843457345826494E-8</v>
      </c>
    </row>
    <row r="61" spans="21:43" x14ac:dyDescent="0.25">
      <c r="U61" s="39">
        <v>0.33333333333333331</v>
      </c>
      <c r="V61">
        <v>17.333333333333332</v>
      </c>
      <c r="W61" s="38">
        <v>9</v>
      </c>
      <c r="X61" s="38">
        <v>0</v>
      </c>
      <c r="Y61">
        <v>11</v>
      </c>
      <c r="Z61">
        <v>0</v>
      </c>
      <c r="AC61" t="s">
        <v>11</v>
      </c>
      <c r="AD61" s="61">
        <f>MEDIAN(U59:U82)</f>
        <v>0</v>
      </c>
      <c r="AE61" s="61">
        <f t="shared" ref="AE61:AI61" si="26">MEDIAN(V59:V82)</f>
        <v>15.541666666666668</v>
      </c>
      <c r="AF61" s="61">
        <f t="shared" si="26"/>
        <v>12</v>
      </c>
      <c r="AG61" s="61">
        <f t="shared" si="26"/>
        <v>3</v>
      </c>
      <c r="AH61" s="61">
        <f t="shared" si="26"/>
        <v>6.5</v>
      </c>
      <c r="AI61" s="61">
        <f t="shared" si="26"/>
        <v>0</v>
      </c>
      <c r="AK61" t="s">
        <v>112</v>
      </c>
      <c r="AL61">
        <v>0.05</v>
      </c>
      <c r="AM61">
        <v>0.05</v>
      </c>
      <c r="AN61">
        <v>0.05</v>
      </c>
      <c r="AO61">
        <v>0.05</v>
      </c>
      <c r="AP61">
        <v>0.05</v>
      </c>
      <c r="AQ61">
        <v>0.05</v>
      </c>
    </row>
    <row r="62" spans="21:43" x14ac:dyDescent="0.25">
      <c r="U62" s="39">
        <v>17.916666666666668</v>
      </c>
      <c r="V62">
        <v>16.75</v>
      </c>
      <c r="W62" s="38">
        <v>12</v>
      </c>
      <c r="X62" s="38">
        <v>8</v>
      </c>
      <c r="Y62">
        <v>12</v>
      </c>
      <c r="Z62">
        <v>0</v>
      </c>
      <c r="AC62" t="s">
        <v>114</v>
      </c>
      <c r="AD62">
        <f>MODE(U59:U82)</f>
        <v>0</v>
      </c>
      <c r="AE62">
        <f t="shared" ref="AE62:AI62" si="27">MODE(V59:V82)</f>
        <v>7.333333333333333</v>
      </c>
      <c r="AF62">
        <f t="shared" si="27"/>
        <v>12</v>
      </c>
      <c r="AG62">
        <f t="shared" si="27"/>
        <v>2</v>
      </c>
      <c r="AH62">
        <f t="shared" si="27"/>
        <v>2</v>
      </c>
      <c r="AI62">
        <f t="shared" si="27"/>
        <v>0</v>
      </c>
      <c r="AK62" s="73" t="s">
        <v>115</v>
      </c>
      <c r="AL62" s="77" t="str">
        <f>IF(AL60&lt;AL61,"no","yes")</f>
        <v>no</v>
      </c>
      <c r="AM62" s="77" t="str">
        <f t="shared" ref="AM62:AQ62" si="28">IF(AM60&lt;AM61,"no","yes")</f>
        <v>no</v>
      </c>
      <c r="AN62" s="77" t="str">
        <f t="shared" si="28"/>
        <v>yes</v>
      </c>
      <c r="AO62" s="77" t="str">
        <f t="shared" si="28"/>
        <v>no</v>
      </c>
      <c r="AP62" s="77" t="str">
        <f t="shared" si="28"/>
        <v>yes</v>
      </c>
      <c r="AQ62" s="77" t="str">
        <f t="shared" si="28"/>
        <v>no</v>
      </c>
    </row>
    <row r="63" spans="21:43" x14ac:dyDescent="0.25">
      <c r="U63" s="39">
        <v>8.3333333333333339</v>
      </c>
      <c r="V63">
        <v>15.166666666666666</v>
      </c>
      <c r="W63" s="38">
        <v>3</v>
      </c>
      <c r="X63" s="38">
        <v>0</v>
      </c>
      <c r="Y63">
        <v>7</v>
      </c>
      <c r="Z63">
        <v>0</v>
      </c>
      <c r="AC63" t="s">
        <v>118</v>
      </c>
      <c r="AD63">
        <f>_xlfn.STDEV.S(U59:U82)</f>
        <v>4.5601363864989084</v>
      </c>
      <c r="AE63">
        <f t="shared" ref="AE63:AI63" si="29">_xlfn.STDEV.S(V59:V82)</f>
        <v>33.654923447879199</v>
      </c>
      <c r="AF63">
        <f t="shared" si="29"/>
        <v>3.2923956750435925</v>
      </c>
      <c r="AG63">
        <f t="shared" si="29"/>
        <v>2.3072774891123751</v>
      </c>
      <c r="AH63">
        <f t="shared" si="29"/>
        <v>3.8748539009391294</v>
      </c>
      <c r="AI63">
        <f t="shared" si="29"/>
        <v>0.60791875887432878</v>
      </c>
    </row>
    <row r="64" spans="21:43" x14ac:dyDescent="0.25">
      <c r="U64" s="39">
        <v>0</v>
      </c>
      <c r="V64">
        <v>14.166666666666666</v>
      </c>
      <c r="W64" s="38">
        <v>12</v>
      </c>
      <c r="X64" s="38">
        <v>2</v>
      </c>
      <c r="Y64">
        <v>10</v>
      </c>
      <c r="Z64">
        <v>0</v>
      </c>
      <c r="AC64" t="s">
        <v>122</v>
      </c>
      <c r="AD64">
        <f>_xlfn.VAR.S(U59:U82)</f>
        <v>20.794843863471321</v>
      </c>
      <c r="AE64">
        <f t="shared" ref="AE64:AI64" si="30">_xlfn.VAR.S(V59:V82)</f>
        <v>1132.653872282609</v>
      </c>
      <c r="AF64">
        <f t="shared" si="30"/>
        <v>10.839869281045754</v>
      </c>
      <c r="AG64">
        <f t="shared" si="30"/>
        <v>5.3235294117647056</v>
      </c>
      <c r="AH64">
        <f t="shared" si="30"/>
        <v>15.014492753623189</v>
      </c>
      <c r="AI64">
        <f t="shared" si="30"/>
        <v>0.36956521739130432</v>
      </c>
      <c r="AK64" t="s">
        <v>123</v>
      </c>
    </row>
    <row r="65" spans="21:49" x14ac:dyDescent="0.25">
      <c r="U65" s="39">
        <v>0</v>
      </c>
      <c r="V65">
        <v>22.75</v>
      </c>
      <c r="W65" s="38">
        <v>12</v>
      </c>
      <c r="X65" s="38">
        <v>3</v>
      </c>
      <c r="Y65">
        <v>8</v>
      </c>
      <c r="Z65">
        <v>0</v>
      </c>
      <c r="AC65" t="s">
        <v>126</v>
      </c>
      <c r="AD65">
        <f>KURT(U59:U82)</f>
        <v>10.055940046095412</v>
      </c>
      <c r="AE65">
        <f t="shared" ref="AE65:AI65" si="31">KURT(V59:V82)</f>
        <v>19.972409428806277</v>
      </c>
      <c r="AF65">
        <f t="shared" si="31"/>
        <v>1.6954099567834167</v>
      </c>
      <c r="AG65">
        <f t="shared" si="31"/>
        <v>2.0904795335917727</v>
      </c>
      <c r="AH65">
        <f t="shared" si="31"/>
        <v>-1.228791534638197</v>
      </c>
      <c r="AI65">
        <f t="shared" si="31"/>
        <v>4.6138498180020715</v>
      </c>
    </row>
    <row r="66" spans="21:49" x14ac:dyDescent="0.25">
      <c r="U66" s="39">
        <v>0</v>
      </c>
      <c r="V66">
        <v>20.416666666666668</v>
      </c>
      <c r="W66" s="38">
        <v>9</v>
      </c>
      <c r="X66" s="38">
        <v>5</v>
      </c>
      <c r="Y66">
        <v>13</v>
      </c>
      <c r="Z66">
        <v>0</v>
      </c>
      <c r="AC66" t="s">
        <v>131</v>
      </c>
      <c r="AD66">
        <f>SKEW(U59:U82)</f>
        <v>3.1134589980849983</v>
      </c>
      <c r="AE66">
        <f t="shared" ref="AE66:AI66" si="32">SKEW(V59:V82)</f>
        <v>4.324543862377932</v>
      </c>
      <c r="AF66">
        <f t="shared" si="32"/>
        <v>-1.1810636311277469</v>
      </c>
      <c r="AG66">
        <f t="shared" si="32"/>
        <v>1.3235804612689916</v>
      </c>
      <c r="AH66">
        <f t="shared" si="32"/>
        <v>0.29168096633197083</v>
      </c>
      <c r="AI66">
        <f t="shared" si="32"/>
        <v>2.3750710868886964</v>
      </c>
      <c r="AK66" s="78" t="s">
        <v>132</v>
      </c>
      <c r="AL66" s="78">
        <f>[1]!DAGOSTINO(U59:U82)</f>
        <v>32.92133207999246</v>
      </c>
      <c r="AM66" s="78">
        <f>[1]!DAGOSTINO(V59:V82)</f>
        <v>53.85371682042183</v>
      </c>
      <c r="AN66" s="78">
        <f>[1]!DAGOSTINO(W59:W82)</f>
        <v>6.8806663061957138</v>
      </c>
      <c r="AO66" s="78">
        <f>[1]!DAGOSTINO(X59:X82)</f>
        <v>8.5211992803960648</v>
      </c>
      <c r="AP66" s="78">
        <f>[1]!DAGOSTINO(Y59:Y82)</f>
        <v>4.6173082391480866</v>
      </c>
      <c r="AQ66" s="78">
        <f>[1]!DAGOSTINO(Z59:Z82)</f>
        <v>23.739427555036475</v>
      </c>
    </row>
    <row r="67" spans="21:49" x14ac:dyDescent="0.25">
      <c r="U67" s="39">
        <v>0</v>
      </c>
      <c r="V67">
        <v>10.5</v>
      </c>
      <c r="W67" s="38">
        <v>11</v>
      </c>
      <c r="X67" s="38">
        <v>3</v>
      </c>
      <c r="Y67">
        <v>4</v>
      </c>
      <c r="Z67">
        <v>0</v>
      </c>
      <c r="AC67" t="s">
        <v>140</v>
      </c>
      <c r="AD67">
        <f>AD68-AD69</f>
        <v>17.916666666666668</v>
      </c>
      <c r="AE67">
        <f t="shared" ref="AE67:AI67" si="33">AE68-AE69</f>
        <v>173.5</v>
      </c>
      <c r="AF67">
        <f t="shared" si="33"/>
        <v>13</v>
      </c>
      <c r="AG67">
        <f t="shared" si="33"/>
        <v>9</v>
      </c>
      <c r="AH67">
        <f t="shared" si="33"/>
        <v>12</v>
      </c>
      <c r="AI67">
        <f t="shared" si="33"/>
        <v>2</v>
      </c>
      <c r="AK67" t="s">
        <v>18</v>
      </c>
      <c r="AL67">
        <f>[1]!DPTEST(U59:U82)</f>
        <v>7.0994314538275205E-8</v>
      </c>
      <c r="AM67">
        <f>[1]!DPTEST(V59:V82)</f>
        <v>2.0221602170522601E-12</v>
      </c>
      <c r="AN67">
        <f>[1]!DPTEST(W59:W82)</f>
        <v>3.2054004657859902E-2</v>
      </c>
      <c r="AO67">
        <f>[1]!DPTEST(X59:X82)</f>
        <v>1.4113836648409261E-2</v>
      </c>
      <c r="AP67">
        <f>[1]!DPTEST(Y59:Y82)</f>
        <v>9.9394935276144958E-2</v>
      </c>
      <c r="AQ67">
        <f>[1]!DPTEST(Z59:Z82)</f>
        <v>6.9992064647417251E-6</v>
      </c>
    </row>
    <row r="68" spans="21:49" x14ac:dyDescent="0.25">
      <c r="U68" s="39">
        <v>0</v>
      </c>
      <c r="V68">
        <v>30</v>
      </c>
      <c r="W68" s="38">
        <v>13</v>
      </c>
      <c r="X68" s="38">
        <v>4</v>
      </c>
      <c r="Y68">
        <v>4</v>
      </c>
      <c r="Z68">
        <v>0</v>
      </c>
      <c r="AC68" t="s">
        <v>12</v>
      </c>
      <c r="AD68" s="61">
        <f>MAX(U59:U82)</f>
        <v>17.916666666666668</v>
      </c>
      <c r="AE68" s="61">
        <f t="shared" ref="AE68:AI68" si="34">MAX(V59:V82)</f>
        <v>175.5</v>
      </c>
      <c r="AF68" s="61">
        <f t="shared" si="34"/>
        <v>16</v>
      </c>
      <c r="AG68" s="61">
        <f t="shared" si="34"/>
        <v>9</v>
      </c>
      <c r="AH68" s="61">
        <f t="shared" si="34"/>
        <v>13</v>
      </c>
      <c r="AI68" s="61">
        <f t="shared" si="34"/>
        <v>2</v>
      </c>
      <c r="AK68" t="s">
        <v>112</v>
      </c>
      <c r="AL68">
        <v>0.05</v>
      </c>
      <c r="AM68">
        <v>0.05</v>
      </c>
      <c r="AN68">
        <v>0.05</v>
      </c>
      <c r="AO68">
        <v>0.05</v>
      </c>
      <c r="AP68">
        <v>0.05</v>
      </c>
      <c r="AQ68">
        <v>0.05</v>
      </c>
    </row>
    <row r="69" spans="21:49" x14ac:dyDescent="0.25">
      <c r="U69" s="39">
        <v>0</v>
      </c>
      <c r="V69">
        <v>15.25</v>
      </c>
      <c r="W69" s="38">
        <v>16</v>
      </c>
      <c r="X69" s="38">
        <v>4</v>
      </c>
      <c r="Y69">
        <v>9</v>
      </c>
      <c r="Z69">
        <v>0</v>
      </c>
      <c r="AC69" t="s">
        <v>13</v>
      </c>
      <c r="AD69" s="61">
        <f>MIN(U59:U82)</f>
        <v>0</v>
      </c>
      <c r="AE69" s="61">
        <f t="shared" ref="AE69:AI69" si="35">MIN(V59:V82)</f>
        <v>2</v>
      </c>
      <c r="AF69" s="61">
        <f t="shared" si="35"/>
        <v>3</v>
      </c>
      <c r="AG69" s="61">
        <f t="shared" si="35"/>
        <v>0</v>
      </c>
      <c r="AH69" s="61">
        <f t="shared" si="35"/>
        <v>1</v>
      </c>
      <c r="AI69" s="61">
        <f t="shared" si="35"/>
        <v>0</v>
      </c>
      <c r="AK69" s="73" t="s">
        <v>115</v>
      </c>
      <c r="AL69" s="77" t="str">
        <f>IF(AL67&lt;AL68,"no","yes")</f>
        <v>no</v>
      </c>
      <c r="AM69" s="77" t="str">
        <f t="shared" ref="AM69:AQ69" si="36">IF(AM67&lt;AM68,"no","yes")</f>
        <v>no</v>
      </c>
      <c r="AN69" s="77" t="str">
        <f t="shared" si="36"/>
        <v>no</v>
      </c>
      <c r="AO69" s="77" t="str">
        <f t="shared" si="36"/>
        <v>no</v>
      </c>
      <c r="AP69" s="77" t="str">
        <f t="shared" si="36"/>
        <v>yes</v>
      </c>
      <c r="AQ69" s="77" t="str">
        <f t="shared" si="36"/>
        <v>no</v>
      </c>
    </row>
    <row r="70" spans="21:49" x14ac:dyDescent="0.25">
      <c r="U70" s="39">
        <v>0</v>
      </c>
      <c r="V70">
        <v>10.916666666666666</v>
      </c>
      <c r="W70" s="38">
        <v>14</v>
      </c>
      <c r="X70" s="38">
        <v>3</v>
      </c>
      <c r="Y70">
        <v>5</v>
      </c>
      <c r="Z70">
        <v>0</v>
      </c>
      <c r="AC70" t="s">
        <v>148</v>
      </c>
      <c r="AD70" s="61">
        <f>SUM(U59:U82)</f>
        <v>31.333333333333336</v>
      </c>
      <c r="AE70" s="61">
        <f t="shared" ref="AE70:AI70" si="37">SUM(V59:V82)</f>
        <v>568.75000000000011</v>
      </c>
      <c r="AF70" s="61">
        <f t="shared" si="37"/>
        <v>209</v>
      </c>
      <c r="AG70" s="61">
        <f t="shared" si="37"/>
        <v>57</v>
      </c>
      <c r="AH70" s="61">
        <f t="shared" si="37"/>
        <v>152</v>
      </c>
      <c r="AI70" s="61">
        <f t="shared" si="37"/>
        <v>6</v>
      </c>
    </row>
    <row r="71" spans="21:49" x14ac:dyDescent="0.25">
      <c r="U71" s="39">
        <v>0</v>
      </c>
      <c r="V71">
        <v>175.5</v>
      </c>
      <c r="W71" s="38">
        <v>10</v>
      </c>
      <c r="X71" s="38">
        <v>2</v>
      </c>
      <c r="Y71">
        <v>6</v>
      </c>
      <c r="Z71">
        <v>0</v>
      </c>
      <c r="AC71" t="s">
        <v>103</v>
      </c>
      <c r="AD71">
        <f>COUNT(U59:U82)</f>
        <v>18</v>
      </c>
      <c r="AE71">
        <f t="shared" ref="AE71:AI71" si="38">COUNT(V59:V82)</f>
        <v>24</v>
      </c>
      <c r="AF71">
        <f t="shared" si="38"/>
        <v>18</v>
      </c>
      <c r="AG71">
        <f t="shared" si="38"/>
        <v>18</v>
      </c>
      <c r="AH71">
        <f t="shared" si="38"/>
        <v>24</v>
      </c>
      <c r="AI71">
        <f t="shared" si="38"/>
        <v>24</v>
      </c>
    </row>
    <row r="72" spans="21:49" x14ac:dyDescent="0.25">
      <c r="U72" s="39">
        <v>0</v>
      </c>
      <c r="V72">
        <v>46</v>
      </c>
      <c r="W72" s="38">
        <v>14</v>
      </c>
      <c r="X72" s="38">
        <v>2</v>
      </c>
      <c r="Y72">
        <v>10</v>
      </c>
      <c r="Z72">
        <v>0</v>
      </c>
      <c r="AC72" t="s">
        <v>155</v>
      </c>
      <c r="AD72" t="e">
        <f>GEOMEAN(U59:U82)</f>
        <v>#NUM!</v>
      </c>
      <c r="AE72">
        <f t="shared" ref="AE72:AI72" si="39">GEOMEAN(V59:V82)</f>
        <v>16.16877959925025</v>
      </c>
      <c r="AF72">
        <f t="shared" si="39"/>
        <v>10.951225964010613</v>
      </c>
      <c r="AG72" t="e">
        <f t="shared" si="39"/>
        <v>#NUM!</v>
      </c>
      <c r="AH72">
        <f t="shared" si="39"/>
        <v>5.0291950406597712</v>
      </c>
      <c r="AI72" t="e">
        <f t="shared" si="39"/>
        <v>#NUM!</v>
      </c>
    </row>
    <row r="73" spans="21:49" x14ac:dyDescent="0.25">
      <c r="U73" s="39">
        <v>0</v>
      </c>
      <c r="V73">
        <v>15.916666666666666</v>
      </c>
      <c r="W73" s="38">
        <v>13</v>
      </c>
      <c r="X73" s="38">
        <v>3</v>
      </c>
      <c r="Y73">
        <v>7</v>
      </c>
      <c r="Z73">
        <v>0</v>
      </c>
      <c r="AC73" t="s">
        <v>158</v>
      </c>
      <c r="AD73" t="e">
        <f>HARMEAN(U59:U82)</f>
        <v>#NUM!</v>
      </c>
      <c r="AE73">
        <f t="shared" ref="AE73:AI73" si="40">HARMEAN(V59:V82)</f>
        <v>11.827179211219592</v>
      </c>
      <c r="AF73">
        <f t="shared" si="40"/>
        <v>9.9090591062341797</v>
      </c>
      <c r="AG73" t="e">
        <f t="shared" si="40"/>
        <v>#NUM!</v>
      </c>
      <c r="AH73">
        <f t="shared" si="40"/>
        <v>3.7871522223569953</v>
      </c>
      <c r="AI73" t="e">
        <f t="shared" si="40"/>
        <v>#NUM!</v>
      </c>
    </row>
    <row r="74" spans="21:49" x14ac:dyDescent="0.25">
      <c r="U74" s="39">
        <v>4.166666666666667</v>
      </c>
      <c r="V74">
        <v>14</v>
      </c>
      <c r="W74" s="38">
        <v>14</v>
      </c>
      <c r="X74" s="42">
        <v>3</v>
      </c>
      <c r="Y74">
        <v>2</v>
      </c>
      <c r="Z74">
        <v>0</v>
      </c>
      <c r="AC74" t="s">
        <v>161</v>
      </c>
      <c r="AD74">
        <f>AVEDEV(U59:U82)</f>
        <v>2.7993827160493825</v>
      </c>
      <c r="AE74">
        <f t="shared" ref="AE74:AI74" si="41">AVEDEV(V59:V82)</f>
        <v>15.875868055555555</v>
      </c>
      <c r="AF74">
        <f t="shared" si="41"/>
        <v>2.4074074074074066</v>
      </c>
      <c r="AG74">
        <f t="shared" si="41"/>
        <v>1.5740740740740746</v>
      </c>
      <c r="AH74">
        <f t="shared" si="41"/>
        <v>3.3333333333333335</v>
      </c>
      <c r="AI74">
        <f t="shared" si="41"/>
        <v>0.41666666666666669</v>
      </c>
    </row>
    <row r="75" spans="21:49" x14ac:dyDescent="0.25">
      <c r="U75" s="39">
        <v>8.3333333333333329E-2</v>
      </c>
      <c r="V75">
        <v>13.25</v>
      </c>
      <c r="W75" s="38">
        <v>12</v>
      </c>
      <c r="X75" s="42">
        <v>2</v>
      </c>
      <c r="Y75">
        <v>2</v>
      </c>
      <c r="Z75">
        <v>0</v>
      </c>
      <c r="AC75" t="s">
        <v>163</v>
      </c>
      <c r="AD75">
        <f>[1]!MAD(U59:U82)</f>
        <v>0</v>
      </c>
      <c r="AE75">
        <f>[1]!MAD(V59:V82)</f>
        <v>4.9583333333333339</v>
      </c>
      <c r="AF75">
        <f>[1]!MAD(W59:W82)</f>
        <v>2</v>
      </c>
      <c r="AG75">
        <f>[1]!MAD(X59:X82)</f>
        <v>1</v>
      </c>
      <c r="AH75">
        <f>[1]!MAD(Y59:Y82)</f>
        <v>3.5</v>
      </c>
      <c r="AI75">
        <f>[1]!MAD(Z59:Z82)</f>
        <v>0</v>
      </c>
    </row>
    <row r="76" spans="21:49" x14ac:dyDescent="0.25">
      <c r="U76" s="39">
        <v>0</v>
      </c>
      <c r="V76">
        <v>21</v>
      </c>
      <c r="W76" s="38">
        <v>16</v>
      </c>
      <c r="X76" s="42">
        <v>2</v>
      </c>
      <c r="Y76">
        <v>1</v>
      </c>
      <c r="Z76">
        <v>0</v>
      </c>
      <c r="AC76" s="73" t="s">
        <v>14</v>
      </c>
      <c r="AD76" s="73">
        <f>[1]!IQR(U59:U82,FALSE)</f>
        <v>0.25</v>
      </c>
      <c r="AE76" s="73">
        <f>[1]!IQR(V59:V82,FALSE)</f>
        <v>10.270833333333334</v>
      </c>
      <c r="AF76" s="73">
        <f>[1]!IQR(W59:W82,FALSE)</f>
        <v>3.5</v>
      </c>
      <c r="AG76" s="73">
        <f>[1]!IQR(X59:X82,FALSE)</f>
        <v>1.75</v>
      </c>
      <c r="AH76" s="73">
        <f>[1]!IQR(Y59:Y82,FALSE)</f>
        <v>6.5</v>
      </c>
      <c r="AI76" s="73">
        <f>[1]!IQR(Z59:Z82,FALSE)</f>
        <v>0</v>
      </c>
    </row>
    <row r="77" spans="21:49" x14ac:dyDescent="0.25">
      <c r="V77">
        <v>32.166666666666664</v>
      </c>
      <c r="Y77">
        <v>13</v>
      </c>
      <c r="Z77">
        <v>0</v>
      </c>
    </row>
    <row r="78" spans="21:49" x14ac:dyDescent="0.25">
      <c r="V78">
        <v>15.833333333333334</v>
      </c>
      <c r="Y78">
        <v>3</v>
      </c>
      <c r="Z78">
        <v>0</v>
      </c>
    </row>
    <row r="79" spans="21:49" x14ac:dyDescent="0.25">
      <c r="V79">
        <v>11.25</v>
      </c>
      <c r="Y79">
        <v>3</v>
      </c>
      <c r="Z79">
        <v>2</v>
      </c>
    </row>
    <row r="80" spans="21:49" x14ac:dyDescent="0.25">
      <c r="V80">
        <v>8.5833333333333339</v>
      </c>
      <c r="Y80">
        <v>2</v>
      </c>
      <c r="Z80">
        <v>2</v>
      </c>
      <c r="AW80" t="s">
        <v>20</v>
      </c>
    </row>
    <row r="81" spans="21:52" x14ac:dyDescent="0.25">
      <c r="V81">
        <v>7.333333333333333</v>
      </c>
      <c r="Y81">
        <v>2</v>
      </c>
      <c r="Z81">
        <v>1</v>
      </c>
      <c r="AD81" t="s">
        <v>41</v>
      </c>
      <c r="AE81" t="s">
        <v>50</v>
      </c>
      <c r="AF81" t="s">
        <v>43</v>
      </c>
      <c r="AG81" t="s">
        <v>43</v>
      </c>
      <c r="AH81" t="s">
        <v>51</v>
      </c>
      <c r="AI81" t="s">
        <v>56</v>
      </c>
      <c r="AM81" t="s">
        <v>103</v>
      </c>
      <c r="AN81" t="s">
        <v>9</v>
      </c>
      <c r="AO81" t="s">
        <v>10</v>
      </c>
      <c r="AP81" t="s">
        <v>11</v>
      </c>
      <c r="AQ81" t="s">
        <v>12</v>
      </c>
      <c r="AR81" t="s">
        <v>13</v>
      </c>
      <c r="AS81" t="s">
        <v>14</v>
      </c>
      <c r="AT81" t="s">
        <v>18</v>
      </c>
      <c r="AU81" t="s">
        <v>18</v>
      </c>
      <c r="AV81" t="s">
        <v>19</v>
      </c>
      <c r="AW81" t="s">
        <v>28</v>
      </c>
      <c r="AX81" t="s">
        <v>29</v>
      </c>
      <c r="AY81" t="s">
        <v>30</v>
      </c>
      <c r="AZ81" t="s">
        <v>18</v>
      </c>
    </row>
    <row r="82" spans="21:52" x14ac:dyDescent="0.25">
      <c r="V82">
        <v>7.333333333333333</v>
      </c>
      <c r="Y82">
        <v>2</v>
      </c>
      <c r="Z82">
        <v>1</v>
      </c>
      <c r="AC82" t="s">
        <v>103</v>
      </c>
      <c r="AD82">
        <v>18</v>
      </c>
      <c r="AE82">
        <v>24</v>
      </c>
      <c r="AF82">
        <v>18</v>
      </c>
      <c r="AG82">
        <v>18</v>
      </c>
      <c r="AH82">
        <v>24</v>
      </c>
      <c r="AI82">
        <v>24</v>
      </c>
      <c r="AL82" t="s">
        <v>41</v>
      </c>
      <c r="AM82">
        <v>18</v>
      </c>
      <c r="AN82" s="59">
        <v>1.7407407407407409</v>
      </c>
      <c r="AO82" s="59">
        <v>1.0748344540096324</v>
      </c>
      <c r="AP82" s="59">
        <v>0</v>
      </c>
      <c r="AQ82" s="59">
        <v>17.916666666666668</v>
      </c>
      <c r="AR82" s="59">
        <v>0</v>
      </c>
      <c r="AS82" s="59">
        <v>0.25</v>
      </c>
      <c r="AT82" s="71">
        <v>7.0994314538275205E-8</v>
      </c>
      <c r="AU82">
        <v>5.3250048903663583E-7</v>
      </c>
      <c r="AV82" t="s">
        <v>42</v>
      </c>
      <c r="AW82" t="s">
        <v>43</v>
      </c>
      <c r="AX82" t="s">
        <v>43</v>
      </c>
      <c r="AY82">
        <v>8.4444444444444446</v>
      </c>
      <c r="AZ82">
        <v>3.6340402180845555E-4</v>
      </c>
    </row>
    <row r="83" spans="21:52" x14ac:dyDescent="0.25">
      <c r="AC83" t="s">
        <v>9</v>
      </c>
      <c r="AD83">
        <v>1.7407407407407409</v>
      </c>
      <c r="AE83">
        <v>23.697916666666671</v>
      </c>
      <c r="AF83">
        <v>11.611111111111111</v>
      </c>
      <c r="AG83">
        <v>3.1666666666666665</v>
      </c>
      <c r="AH83">
        <v>6.333333333333333</v>
      </c>
      <c r="AI83">
        <v>0.25</v>
      </c>
      <c r="AL83" t="s">
        <v>50</v>
      </c>
      <c r="AM83">
        <v>24</v>
      </c>
      <c r="AN83" s="59">
        <v>23.697916666666671</v>
      </c>
      <c r="AO83" s="59">
        <v>6.8697824816444308</v>
      </c>
      <c r="AP83" s="59">
        <v>15.541666666666668</v>
      </c>
      <c r="AQ83" s="59">
        <v>175.5</v>
      </c>
      <c r="AR83" s="59">
        <v>2</v>
      </c>
      <c r="AS83" s="59">
        <v>10.270833333333334</v>
      </c>
      <c r="AT83" s="71">
        <v>2.0221602170522601E-12</v>
      </c>
      <c r="AW83" t="s">
        <v>43</v>
      </c>
      <c r="AX83" t="s">
        <v>51</v>
      </c>
      <c r="AY83">
        <v>5.2777777777777777</v>
      </c>
      <c r="AZ83">
        <v>5.4479474342185252E-2</v>
      </c>
    </row>
    <row r="84" spans="21:52" x14ac:dyDescent="0.25">
      <c r="AC84" t="s">
        <v>10</v>
      </c>
      <c r="AD84">
        <v>1.0748344540096324</v>
      </c>
      <c r="AE84">
        <v>6.8697824816444308</v>
      </c>
      <c r="AF84">
        <v>0.77602510272419511</v>
      </c>
      <c r="AG84">
        <v>0.54383051954347705</v>
      </c>
      <c r="AH84">
        <v>0.79095124042781528</v>
      </c>
      <c r="AI84">
        <v>0.12409089702567905</v>
      </c>
      <c r="AL84" t="s">
        <v>43</v>
      </c>
      <c r="AM84">
        <v>18</v>
      </c>
      <c r="AN84" s="59">
        <v>11.611111111111111</v>
      </c>
      <c r="AO84" s="59">
        <v>0.77602510272419511</v>
      </c>
      <c r="AP84" s="59">
        <v>12</v>
      </c>
      <c r="AQ84" s="59">
        <v>16</v>
      </c>
      <c r="AR84" s="59">
        <v>3</v>
      </c>
      <c r="AS84" s="59">
        <v>3.5</v>
      </c>
      <c r="AT84" s="71">
        <v>3.2054004657859902E-2</v>
      </c>
      <c r="AU84">
        <v>1.4524023356944115E-13</v>
      </c>
      <c r="AV84" t="s">
        <v>55</v>
      </c>
      <c r="AW84" t="s">
        <v>43</v>
      </c>
      <c r="AX84" t="s">
        <v>56</v>
      </c>
      <c r="AY84">
        <v>11.361111111111111</v>
      </c>
      <c r="AZ84">
        <v>5.9874327718034692E-13</v>
      </c>
    </row>
    <row r="85" spans="21:52" x14ac:dyDescent="0.25">
      <c r="AC85" t="s">
        <v>11</v>
      </c>
      <c r="AD85">
        <v>0</v>
      </c>
      <c r="AE85">
        <v>15.541666666666668</v>
      </c>
      <c r="AF85">
        <v>12</v>
      </c>
      <c r="AG85">
        <v>3</v>
      </c>
      <c r="AH85">
        <v>6.5</v>
      </c>
      <c r="AI85">
        <v>0</v>
      </c>
      <c r="AL85" t="s">
        <v>43</v>
      </c>
      <c r="AM85">
        <v>18</v>
      </c>
      <c r="AN85" s="59">
        <v>3.1666666666666665</v>
      </c>
      <c r="AO85" s="59">
        <v>0.54383051954347705</v>
      </c>
      <c r="AP85" s="59">
        <v>3</v>
      </c>
      <c r="AQ85" s="59">
        <v>9</v>
      </c>
      <c r="AR85" s="59">
        <v>0</v>
      </c>
      <c r="AS85" s="59">
        <v>1.75</v>
      </c>
      <c r="AT85" s="71">
        <v>1.4113836648409261E-2</v>
      </c>
      <c r="AW85" t="s">
        <v>43</v>
      </c>
      <c r="AX85" t="s">
        <v>51</v>
      </c>
      <c r="AY85">
        <v>3.1666666666666665</v>
      </c>
      <c r="AZ85">
        <v>0.29838749580308244</v>
      </c>
    </row>
    <row r="86" spans="21:52" x14ac:dyDescent="0.25">
      <c r="AC86" t="s">
        <v>12</v>
      </c>
      <c r="AD86">
        <v>17.916666666666668</v>
      </c>
      <c r="AE86">
        <v>175.5</v>
      </c>
      <c r="AF86">
        <v>16</v>
      </c>
      <c r="AG86">
        <v>9</v>
      </c>
      <c r="AH86">
        <v>13</v>
      </c>
      <c r="AI86">
        <v>2</v>
      </c>
      <c r="AL86" t="s">
        <v>51</v>
      </c>
      <c r="AM86">
        <v>24</v>
      </c>
      <c r="AN86" s="59">
        <v>6.333333333333333</v>
      </c>
      <c r="AO86" s="59">
        <v>0.79095124042781528</v>
      </c>
      <c r="AP86" s="59">
        <v>6.5</v>
      </c>
      <c r="AQ86" s="59">
        <v>13</v>
      </c>
      <c r="AR86" s="59">
        <v>1</v>
      </c>
      <c r="AS86" s="59">
        <v>6.5</v>
      </c>
      <c r="AT86" s="71">
        <v>9.9394935276144958E-2</v>
      </c>
      <c r="AW86" t="s">
        <v>43</v>
      </c>
      <c r="AX86" t="s">
        <v>56</v>
      </c>
      <c r="AY86">
        <v>2.9166666666666665</v>
      </c>
      <c r="AZ86">
        <v>7.2572461575639569E-3</v>
      </c>
    </row>
    <row r="87" spans="21:52" x14ac:dyDescent="0.25">
      <c r="AC87" t="s">
        <v>13</v>
      </c>
      <c r="AD87">
        <v>0</v>
      </c>
      <c r="AE87">
        <v>2</v>
      </c>
      <c r="AF87">
        <v>3</v>
      </c>
      <c r="AG87">
        <v>0</v>
      </c>
      <c r="AH87">
        <v>1</v>
      </c>
      <c r="AI87">
        <v>0</v>
      </c>
      <c r="AL87" t="s">
        <v>56</v>
      </c>
      <c r="AM87">
        <v>24</v>
      </c>
      <c r="AN87" s="59">
        <v>0.25</v>
      </c>
      <c r="AO87" s="59">
        <v>0.12409089702567905</v>
      </c>
      <c r="AP87" s="59">
        <v>0</v>
      </c>
      <c r="AQ87" s="59">
        <v>2</v>
      </c>
      <c r="AR87" s="59">
        <v>0</v>
      </c>
      <c r="AS87" s="59">
        <v>0</v>
      </c>
      <c r="AT87" s="71">
        <v>6.9992064647417251E-6</v>
      </c>
      <c r="AW87" t="s">
        <v>51</v>
      </c>
      <c r="AX87" t="s">
        <v>56</v>
      </c>
      <c r="AY87">
        <v>6.083333333333333</v>
      </c>
      <c r="AZ87">
        <v>5.4432891272160333E-7</v>
      </c>
    </row>
    <row r="88" spans="21:52" x14ac:dyDescent="0.25">
      <c r="AC88" t="s">
        <v>14</v>
      </c>
      <c r="AD88">
        <v>0.25</v>
      </c>
      <c r="AE88">
        <v>10.270833333333334</v>
      </c>
      <c r="AF88">
        <v>3.5</v>
      </c>
      <c r="AG88">
        <v>1.75</v>
      </c>
      <c r="AH88">
        <v>6.5</v>
      </c>
      <c r="AI88">
        <v>0</v>
      </c>
    </row>
    <row r="89" spans="21:52" x14ac:dyDescent="0.25">
      <c r="AC89" t="s">
        <v>18</v>
      </c>
      <c r="AD89">
        <v>7.0994314538275205E-8</v>
      </c>
      <c r="AE89">
        <v>2.0221602170522601E-12</v>
      </c>
      <c r="AF89">
        <v>3.2054004657859902E-2</v>
      </c>
      <c r="AG89">
        <v>1.4113836648409261E-2</v>
      </c>
      <c r="AH89">
        <v>9.9394935276144958E-2</v>
      </c>
      <c r="AI89">
        <v>6.9992064647417251E-6</v>
      </c>
    </row>
    <row r="90" spans="21:52" x14ac:dyDescent="0.25">
      <c r="U90" t="s">
        <v>197</v>
      </c>
    </row>
    <row r="92" spans="21:52" x14ac:dyDescent="0.25">
      <c r="V92" t="str">
        <f>U58</f>
        <v>BNP1.EDAD (MESES)</v>
      </c>
      <c r="W92" t="str">
        <f>V58</f>
        <v>BNP3.EDAD (MESES)</v>
      </c>
    </row>
    <row r="93" spans="21:52" x14ac:dyDescent="0.25">
      <c r="U93" t="s">
        <v>116</v>
      </c>
      <c r="V93" s="94">
        <f>COUNT(U59:U76)</f>
        <v>18</v>
      </c>
      <c r="W93" s="83">
        <f>COUNT(V59:V82)</f>
        <v>24</v>
      </c>
    </row>
    <row r="94" spans="21:52" x14ac:dyDescent="0.25">
      <c r="U94" t="s">
        <v>110</v>
      </c>
      <c r="V94" s="95">
        <f>MEDIAN(U59:U76)</f>
        <v>0</v>
      </c>
      <c r="W94" s="84">
        <f>MEDIAN(V59:V82)</f>
        <v>15.541666666666668</v>
      </c>
    </row>
    <row r="95" spans="21:52" x14ac:dyDescent="0.25">
      <c r="U95" t="s">
        <v>198</v>
      </c>
      <c r="V95" s="96">
        <f>[1]!RANK_SUM(U59:U76,V59:V82,1)</f>
        <v>191</v>
      </c>
      <c r="W95" s="84">
        <f>[1]!RANK_SUM(V59:V82,U59:U76,1)</f>
        <v>712</v>
      </c>
    </row>
    <row r="96" spans="21:52" x14ac:dyDescent="0.25">
      <c r="U96" t="s">
        <v>199</v>
      </c>
      <c r="V96" s="97">
        <f>V93*W93+V93*(V93+1)/2-V95</f>
        <v>412</v>
      </c>
      <c r="W96" s="85">
        <f>V93*W93+W93*(W93+1)/2-W95</f>
        <v>20</v>
      </c>
    </row>
    <row r="98" spans="21:23" x14ac:dyDescent="0.25">
      <c r="V98" s="33" t="s">
        <v>144</v>
      </c>
      <c r="W98" s="33" t="s">
        <v>145</v>
      </c>
    </row>
    <row r="99" spans="21:23" x14ac:dyDescent="0.25">
      <c r="U99" t="s">
        <v>199</v>
      </c>
      <c r="V99" s="62">
        <f>MIN(V96,W96)</f>
        <v>20</v>
      </c>
    </row>
    <row r="100" spans="21:23" x14ac:dyDescent="0.25">
      <c r="U100" t="s">
        <v>30</v>
      </c>
      <c r="V100" s="63">
        <f>V93*W93/2</f>
        <v>216</v>
      </c>
    </row>
    <row r="101" spans="21:23" x14ac:dyDescent="0.25">
      <c r="U101" t="s">
        <v>149</v>
      </c>
      <c r="V101" s="63">
        <f>SQRT(V100*(V93+W93+1)/6*(1-[1]!TiesCorrection(U59:U76,V59:V82,2)/((V93+W93)^3-V93-W93)))</f>
        <v>38.989143490265718</v>
      </c>
      <c r="W101" t="s">
        <v>150</v>
      </c>
    </row>
    <row r="102" spans="21:23" x14ac:dyDescent="0.25">
      <c r="U102" t="s">
        <v>152</v>
      </c>
      <c r="V102" s="63">
        <f>ABS(ABS(V99-V100)-1/2)/V101</f>
        <v>5.014216330471835</v>
      </c>
      <c r="W102" t="s">
        <v>153</v>
      </c>
    </row>
    <row r="103" spans="21:23" x14ac:dyDescent="0.25">
      <c r="U103" t="s">
        <v>156</v>
      </c>
      <c r="V103" s="63">
        <f>V102/SQRT(V93+W93)</f>
        <v>0.77371037722643188</v>
      </c>
    </row>
    <row r="104" spans="21:23" x14ac:dyDescent="0.25">
      <c r="U104" t="s">
        <v>159</v>
      </c>
      <c r="V104" s="62">
        <f>1-_xlfn.NORM.S.DIST(V102,TRUE)</f>
        <v>2.6625024451831791E-7</v>
      </c>
      <c r="W104" s="83">
        <f>2*V104</f>
        <v>5.3250048903663583E-7</v>
      </c>
    </row>
    <row r="105" spans="21:23" x14ac:dyDescent="0.25">
      <c r="U105" t="s">
        <v>162</v>
      </c>
      <c r="V105" s="63">
        <f>[1]!MWDIST(V99,V93,W93,1)</f>
        <v>7.664749975775919E-9</v>
      </c>
      <c r="W105" s="84">
        <f>2*V105</f>
        <v>1.5329499951551838E-8</v>
      </c>
    </row>
    <row r="106" spans="21:23" x14ac:dyDescent="0.25">
      <c r="U106" t="s">
        <v>164</v>
      </c>
      <c r="V106" s="64" t="s">
        <v>47</v>
      </c>
      <c r="W106" s="85" t="s">
        <v>47</v>
      </c>
    </row>
    <row r="118" spans="24:63" ht="15.75" thickBot="1" x14ac:dyDescent="0.3">
      <c r="X118" t="s">
        <v>43</v>
      </c>
      <c r="Y118" t="s">
        <v>43</v>
      </c>
      <c r="Z118" t="s">
        <v>51</v>
      </c>
      <c r="AA118" t="s">
        <v>56</v>
      </c>
      <c r="AC118" t="s">
        <v>200</v>
      </c>
      <c r="AM118" t="s">
        <v>201</v>
      </c>
      <c r="AT118" t="s">
        <v>202</v>
      </c>
      <c r="AW118" t="s">
        <v>112</v>
      </c>
      <c r="AX118">
        <v>0.05</v>
      </c>
      <c r="BE118" t="s">
        <v>20</v>
      </c>
      <c r="BH118" t="s">
        <v>112</v>
      </c>
      <c r="BI118">
        <v>0.05</v>
      </c>
    </row>
    <row r="119" spans="24:63" ht="15.75" thickTop="1" x14ac:dyDescent="0.25">
      <c r="X119" s="38">
        <v>13</v>
      </c>
      <c r="Y119" s="38">
        <v>9</v>
      </c>
      <c r="Z119">
        <v>7</v>
      </c>
      <c r="AA119">
        <v>0</v>
      </c>
      <c r="AT119" s="79" t="s">
        <v>203</v>
      </c>
      <c r="AU119" s="79" t="s">
        <v>30</v>
      </c>
      <c r="AV119" s="79" t="s">
        <v>8</v>
      </c>
      <c r="AW119" s="79" t="s">
        <v>204</v>
      </c>
      <c r="AX119" s="79" t="s">
        <v>107</v>
      </c>
      <c r="AY119" s="79" t="s">
        <v>205</v>
      </c>
      <c r="BE119" s="79" t="s">
        <v>203</v>
      </c>
      <c r="BF119" s="79" t="s">
        <v>206</v>
      </c>
      <c r="BG119" s="79" t="s">
        <v>207</v>
      </c>
      <c r="BH119" s="79" t="s">
        <v>208</v>
      </c>
      <c r="BI119" s="79" t="s">
        <v>205</v>
      </c>
    </row>
    <row r="120" spans="24:63" ht="15.75" thickBot="1" x14ac:dyDescent="0.3">
      <c r="X120" s="38">
        <v>6</v>
      </c>
      <c r="Y120" s="38">
        <v>2</v>
      </c>
      <c r="Z120">
        <v>9</v>
      </c>
      <c r="AA120">
        <v>0</v>
      </c>
      <c r="AC120" t="s">
        <v>209</v>
      </c>
      <c r="AH120" t="s">
        <v>99</v>
      </c>
      <c r="AI120">
        <v>0.05</v>
      </c>
      <c r="AN120" t="str">
        <f>X118</f>
        <v>BNP1.FISURA  (mm) T2</v>
      </c>
      <c r="AO120" t="str">
        <f t="shared" ref="AO120:AQ120" si="42">Y118</f>
        <v>BNP1.FISURA  (mm) T2</v>
      </c>
      <c r="AP120" t="str">
        <f t="shared" si="42"/>
        <v>BNP3.FISURA  (mm) T1</v>
      </c>
      <c r="AQ120" t="str">
        <f t="shared" si="42"/>
        <v>BNP3.FISURA  (mm) T2</v>
      </c>
      <c r="AT120" t="str">
        <f>X118</f>
        <v>BNP1.FISURA  (mm) T2</v>
      </c>
      <c r="AU120" s="76">
        <f>AVERAGE(X119:X142)</f>
        <v>11.611111111111111</v>
      </c>
      <c r="AV120">
        <f>COUNT(X119:X142)</f>
        <v>18</v>
      </c>
      <c r="AW120">
        <f>DEVSQ(X119:X142)</f>
        <v>184.27777777777777</v>
      </c>
      <c r="BE120" t="str">
        <f>X118</f>
        <v>BNP1.FISURA  (mm) T2</v>
      </c>
      <c r="BF120">
        <f>[1]!RANK_SUM(X119:AA142,1,1)</f>
        <v>1283.5</v>
      </c>
      <c r="BG120">
        <f>COUNT(X119:X142)</f>
        <v>18</v>
      </c>
      <c r="BH120">
        <f>BF120/BG120</f>
        <v>71.305555555555557</v>
      </c>
    </row>
    <row r="121" spans="24:63" ht="15.75" thickTop="1" x14ac:dyDescent="0.25">
      <c r="X121" s="38">
        <v>9</v>
      </c>
      <c r="Y121" s="38">
        <v>0</v>
      </c>
      <c r="Z121">
        <v>11</v>
      </c>
      <c r="AA121">
        <v>0</v>
      </c>
      <c r="AC121" s="79" t="s">
        <v>210</v>
      </c>
      <c r="AD121" s="79" t="s">
        <v>103</v>
      </c>
      <c r="AE121" s="79" t="s">
        <v>148</v>
      </c>
      <c r="AF121" s="79" t="s">
        <v>9</v>
      </c>
      <c r="AG121" s="79" t="s">
        <v>211</v>
      </c>
      <c r="AH121" s="79" t="s">
        <v>212</v>
      </c>
      <c r="AI121" s="79" t="s">
        <v>105</v>
      </c>
      <c r="AJ121" s="79" t="s">
        <v>213</v>
      </c>
      <c r="AK121" s="79" t="s">
        <v>214</v>
      </c>
      <c r="AM121" t="s">
        <v>110</v>
      </c>
      <c r="AN121" s="98">
        <f>MEDIAN(X119:X142)</f>
        <v>12</v>
      </c>
      <c r="AO121" s="99">
        <f t="shared" ref="AO121:AQ121" si="43">MEDIAN(Y119:Y142)</f>
        <v>3</v>
      </c>
      <c r="AP121" s="99">
        <f t="shared" si="43"/>
        <v>6.5</v>
      </c>
      <c r="AQ121" s="100">
        <f t="shared" si="43"/>
        <v>0</v>
      </c>
      <c r="AT121" t="str">
        <f>Y118</f>
        <v>BNP1.FISURA  (mm) T2</v>
      </c>
      <c r="AU121" s="76">
        <f>AVERAGE(Y119:Y142)</f>
        <v>3.1666666666666665</v>
      </c>
      <c r="AV121">
        <f>COUNT(Y119:Y142)</f>
        <v>18</v>
      </c>
      <c r="AW121">
        <f>DEVSQ(Y119:Y142)</f>
        <v>90.5</v>
      </c>
      <c r="BE121" t="str">
        <f>Y118</f>
        <v>BNP1.FISURA  (mm) T2</v>
      </c>
      <c r="BF121">
        <f>[1]!RANK_SUM(X119:AA142,2,1)</f>
        <v>696.5</v>
      </c>
      <c r="BG121">
        <f>COUNT(Y119:Y142)</f>
        <v>18</v>
      </c>
      <c r="BH121">
        <f>BF121/BG121</f>
        <v>38.694444444444443</v>
      </c>
    </row>
    <row r="122" spans="24:63" x14ac:dyDescent="0.25">
      <c r="X122" s="38">
        <v>12</v>
      </c>
      <c r="Y122" s="38">
        <v>8</v>
      </c>
      <c r="Z122">
        <v>12</v>
      </c>
      <c r="AA122">
        <v>0</v>
      </c>
      <c r="AC122" t="str">
        <f>X118</f>
        <v>BNP1.FISURA  (mm) T2</v>
      </c>
      <c r="AD122">
        <f>COUNT(X119:X142)</f>
        <v>18</v>
      </c>
      <c r="AE122" s="76">
        <f>SUM(X119:X142)</f>
        <v>209</v>
      </c>
      <c r="AF122" s="76">
        <f>AVERAGE(X119:X142)</f>
        <v>11.611111111111111</v>
      </c>
      <c r="AG122">
        <f>_xlfn.VAR.S(X119:X142)</f>
        <v>10.839869281045754</v>
      </c>
      <c r="AH122">
        <f>DEVSQ(X119:X142)</f>
        <v>184.27777777777777</v>
      </c>
      <c r="AI122">
        <f>SQRT(AF130/AD122)</f>
        <v>0.66070832734812757</v>
      </c>
      <c r="AJ122">
        <f>AF122-AI122*_xlfn.T.INV.2T(AI120,AE130)</f>
        <v>10.296259636737393</v>
      </c>
      <c r="AK122">
        <f>AF122+AI122*_xlfn.T.INV.2T(AI120,AE130)</f>
        <v>12.925962585484829</v>
      </c>
      <c r="AM122" t="s">
        <v>198</v>
      </c>
      <c r="AN122" s="96">
        <f>[1]!RANK_SUM(X119:AA142, 1,1)</f>
        <v>1283.5</v>
      </c>
      <c r="AO122">
        <f>[1]!RANK_SUM(X119:AA142, 2,1)</f>
        <v>696.5</v>
      </c>
      <c r="AP122">
        <f>[1]!RANK_SUM(X119:AA142, 3,1)</f>
        <v>1248</v>
      </c>
      <c r="AQ122" s="84">
        <f>[1]!RANK_SUM(X119:AA142, 4,1)</f>
        <v>342</v>
      </c>
      <c r="AT122" t="str">
        <f>Z118</f>
        <v>BNP3.FISURA  (mm) T1</v>
      </c>
      <c r="AU122">
        <f>AVERAGE(Z119:Z142)</f>
        <v>6.333333333333333</v>
      </c>
      <c r="AV122">
        <f>COUNT(Z119:Z142)</f>
        <v>24</v>
      </c>
      <c r="AW122">
        <f>DEVSQ(Z119:Z142)</f>
        <v>345.33333333333331</v>
      </c>
      <c r="BE122" t="str">
        <f>Z118</f>
        <v>BNP3.FISURA  (mm) T1</v>
      </c>
      <c r="BF122">
        <f>[1]!RANK_SUM(X119:AA142,3,1)</f>
        <v>1248</v>
      </c>
      <c r="BG122">
        <f>COUNT(Z119:Z142)</f>
        <v>24</v>
      </c>
      <c r="BH122">
        <f>BF122/BG122</f>
        <v>52</v>
      </c>
    </row>
    <row r="123" spans="24:63" x14ac:dyDescent="0.25">
      <c r="X123" s="38">
        <v>3</v>
      </c>
      <c r="Y123" s="38">
        <v>0</v>
      </c>
      <c r="Z123">
        <v>7</v>
      </c>
      <c r="AA123">
        <v>0</v>
      </c>
      <c r="AC123" t="str">
        <f>Y118</f>
        <v>BNP1.FISURA  (mm) T2</v>
      </c>
      <c r="AD123">
        <f>COUNT(Y119:Y142)</f>
        <v>18</v>
      </c>
      <c r="AE123" s="76">
        <f>SUM(Y119:Y142)</f>
        <v>57</v>
      </c>
      <c r="AF123" s="76">
        <f>AVERAGE(Y119:Y142)</f>
        <v>3.1666666666666665</v>
      </c>
      <c r="AG123">
        <f>_xlfn.VAR.S(Y119:Y142)</f>
        <v>5.3235294117647056</v>
      </c>
      <c r="AH123">
        <f>DEVSQ(Y119:Y142)</f>
        <v>90.5</v>
      </c>
      <c r="AI123">
        <f>SQRT(AF130/AD123)</f>
        <v>0.66070832734812757</v>
      </c>
      <c r="AJ123">
        <f>AF123-AI123*_xlfn.T.INV.2T(AI120,AE130)</f>
        <v>1.8518151922929484</v>
      </c>
      <c r="AK123">
        <f>AF123+AI123*_xlfn.T.INV.2T(AI120,AE130)</f>
        <v>4.4815181410403842</v>
      </c>
      <c r="AM123" t="s">
        <v>116</v>
      </c>
      <c r="AN123" s="96">
        <f>COUNT(X119:X142)</f>
        <v>18</v>
      </c>
      <c r="AO123">
        <f t="shared" ref="AO123:AQ123" si="44">COUNT(Y119:Y142)</f>
        <v>18</v>
      </c>
      <c r="AP123">
        <f t="shared" si="44"/>
        <v>24</v>
      </c>
      <c r="AQ123" s="84">
        <f t="shared" si="44"/>
        <v>24</v>
      </c>
      <c r="AR123" s="62">
        <f>SUM(AN123:AQ123)</f>
        <v>84</v>
      </c>
      <c r="AT123" t="str">
        <f>AA118</f>
        <v>BNP3.FISURA  (mm) T2</v>
      </c>
      <c r="AU123">
        <f>AVERAGE(AA119:AA142)</f>
        <v>0.25</v>
      </c>
      <c r="AV123">
        <f>COUNT(AA119:AA142)</f>
        <v>24</v>
      </c>
      <c r="AW123">
        <f>DEVSQ(AA119:AA142)</f>
        <v>8.5</v>
      </c>
      <c r="BE123" t="str">
        <f>AA118</f>
        <v>BNP3.FISURA  (mm) T2</v>
      </c>
      <c r="BF123">
        <f>[1]!RANK_SUM(X119:AA142,4,1)</f>
        <v>342</v>
      </c>
      <c r="BG123">
        <f>COUNT(AA119:AA142)</f>
        <v>24</v>
      </c>
      <c r="BH123">
        <f>BF123/BG123</f>
        <v>14.25</v>
      </c>
    </row>
    <row r="124" spans="24:63" x14ac:dyDescent="0.25">
      <c r="X124" s="38">
        <v>12</v>
      </c>
      <c r="Y124" s="38">
        <v>2</v>
      </c>
      <c r="Z124">
        <v>10</v>
      </c>
      <c r="AA124">
        <v>0</v>
      </c>
      <c r="AC124" t="str">
        <f>Z118</f>
        <v>BNP3.FISURA  (mm) T1</v>
      </c>
      <c r="AD124">
        <f>COUNT(Z119:Z142)</f>
        <v>24</v>
      </c>
      <c r="AE124">
        <f>SUM(Z119:Z142)</f>
        <v>152</v>
      </c>
      <c r="AF124">
        <f>AVERAGE(Z119:Z142)</f>
        <v>6.333333333333333</v>
      </c>
      <c r="AG124">
        <f>_xlfn.VAR.S(Z119:Z142)</f>
        <v>15.014492753623189</v>
      </c>
      <c r="AH124">
        <f>DEVSQ(Z119:Z142)</f>
        <v>345.33333333333331</v>
      </c>
      <c r="AI124">
        <f>SQRT(AF130/AD124)</f>
        <v>0.57219019597540322</v>
      </c>
      <c r="AJ124">
        <f>AF124-AI124*_xlfn.T.INV.2T(AI120,AE130)</f>
        <v>5.1946385543222693</v>
      </c>
      <c r="AK124">
        <f>AF124+AI124*_xlfn.T.INV.2T(AI120,AE130)</f>
        <v>7.4720281123443968</v>
      </c>
      <c r="AM124" t="s">
        <v>215</v>
      </c>
      <c r="AN124" s="97">
        <f>AN122^2/AN123</f>
        <v>91520.680555555562</v>
      </c>
      <c r="AO124" s="101">
        <f t="shared" ref="AO124:AQ124" si="45">AO122^2/AO123</f>
        <v>26950.680555555555</v>
      </c>
      <c r="AP124" s="101">
        <f t="shared" si="45"/>
        <v>64896</v>
      </c>
      <c r="AQ124" s="85">
        <f t="shared" si="45"/>
        <v>4873.5</v>
      </c>
      <c r="AR124" s="63">
        <f>SUM(AN124:AQ124)</f>
        <v>188240.86111111112</v>
      </c>
      <c r="AT124" s="78"/>
      <c r="AU124" s="78"/>
      <c r="AV124" s="78">
        <f>SUM(AV120:AV123)</f>
        <v>84</v>
      </c>
      <c r="AW124" s="78">
        <f>SUM(AW120:AW123)</f>
        <v>628.61111111111109</v>
      </c>
      <c r="AX124" s="78">
        <f>AV124-COUNT(AV120:AV123)</f>
        <v>80</v>
      </c>
      <c r="AY124" s="78">
        <f>[1]!QCRIT(COUNT(AV120:AV123),AX124,AX118,2)</f>
        <v>3.7109999999999999</v>
      </c>
      <c r="BE124" s="78"/>
      <c r="BF124" s="78"/>
      <c r="BG124" s="78">
        <f>SUM(BG120:BG123)</f>
        <v>84</v>
      </c>
      <c r="BH124" s="78"/>
      <c r="BI124" s="78">
        <f>[1]!QCRIT(COUNT(BG120:BG123),,BI118,2)</f>
        <v>3.633</v>
      </c>
    </row>
    <row r="125" spans="24:63" ht="15.75" thickBot="1" x14ac:dyDescent="0.3">
      <c r="X125" s="38">
        <v>12</v>
      </c>
      <c r="Y125" s="38">
        <v>3</v>
      </c>
      <c r="Z125">
        <v>8</v>
      </c>
      <c r="AA125">
        <v>0</v>
      </c>
      <c r="AC125" t="str">
        <f>AA118</f>
        <v>BNP3.FISURA  (mm) T2</v>
      </c>
      <c r="AD125">
        <f>COUNT(AA119:AA142)</f>
        <v>24</v>
      </c>
      <c r="AE125">
        <f>SUM(AA119:AA142)</f>
        <v>6</v>
      </c>
      <c r="AF125">
        <f>AVERAGE(AA119:AA142)</f>
        <v>0.25</v>
      </c>
      <c r="AG125">
        <f>_xlfn.VAR.S(AA119:AA142)</f>
        <v>0.36956521739130432</v>
      </c>
      <c r="AH125">
        <f>DEVSQ(AA119:AA142)</f>
        <v>8.5</v>
      </c>
      <c r="AI125">
        <f>SQRT(AF130/AD125)</f>
        <v>0.57219019597540322</v>
      </c>
      <c r="AJ125">
        <f>AF125-AI125*_xlfn.T.INV.2T(AI120,AE130)</f>
        <v>-0.88869477901106375</v>
      </c>
      <c r="AK125">
        <f>AF125+AI125*_xlfn.T.INV.2T(AI120,AE130)</f>
        <v>1.3886947790110638</v>
      </c>
      <c r="AM125" t="s">
        <v>216</v>
      </c>
      <c r="AR125" s="63">
        <f>12*AR124/(AR123*(AR123+1))-3*(AR123+1)</f>
        <v>61.371195144724595</v>
      </c>
      <c r="AT125" t="s">
        <v>217</v>
      </c>
      <c r="BE125" t="s">
        <v>217</v>
      </c>
    </row>
    <row r="126" spans="24:63" ht="15.75" thickTop="1" x14ac:dyDescent="0.25">
      <c r="X126" s="38">
        <v>9</v>
      </c>
      <c r="Y126" s="38">
        <v>5</v>
      </c>
      <c r="Z126">
        <v>13</v>
      </c>
      <c r="AA126">
        <v>0</v>
      </c>
      <c r="AC126" s="78"/>
      <c r="AD126" s="78"/>
      <c r="AE126" s="78"/>
      <c r="AF126" s="78"/>
      <c r="AG126" s="78"/>
      <c r="AH126" s="78"/>
      <c r="AI126" s="78"/>
      <c r="AJ126" s="78"/>
      <c r="AK126" s="78"/>
      <c r="AM126" t="s">
        <v>218</v>
      </c>
      <c r="AR126" s="63">
        <f>AR125/(1-[1]!TiesCorrection(X119:AA142)/(AR123*(AR123^2-1)))</f>
        <v>62.840897205519887</v>
      </c>
      <c r="AT126" s="79" t="s">
        <v>28</v>
      </c>
      <c r="AU126" s="79" t="s">
        <v>29</v>
      </c>
      <c r="AV126" s="79" t="s">
        <v>30</v>
      </c>
      <c r="AW126" s="79" t="s">
        <v>219</v>
      </c>
      <c r="AX126" s="79" t="s">
        <v>220</v>
      </c>
      <c r="AY126" s="79" t="s">
        <v>135</v>
      </c>
      <c r="AZ126" s="79" t="s">
        <v>136</v>
      </c>
      <c r="BA126" s="79" t="s">
        <v>18</v>
      </c>
      <c r="BB126" s="79" t="s">
        <v>221</v>
      </c>
      <c r="BC126" s="79" t="s">
        <v>108</v>
      </c>
      <c r="BE126" s="79" t="s">
        <v>28</v>
      </c>
      <c r="BF126" s="79" t="s">
        <v>29</v>
      </c>
      <c r="BG126" s="79" t="s">
        <v>208</v>
      </c>
      <c r="BH126" s="79" t="s">
        <v>219</v>
      </c>
      <c r="BI126" s="79" t="s">
        <v>220</v>
      </c>
      <c r="BJ126" s="79" t="s">
        <v>18</v>
      </c>
      <c r="BK126" s="79" t="s">
        <v>222</v>
      </c>
    </row>
    <row r="127" spans="24:63" ht="15.75" thickBot="1" x14ac:dyDescent="0.3">
      <c r="X127" s="38">
        <v>11</v>
      </c>
      <c r="Y127" s="38">
        <v>3</v>
      </c>
      <c r="Z127">
        <v>4</v>
      </c>
      <c r="AA127">
        <v>0</v>
      </c>
      <c r="AC127" t="s">
        <v>223</v>
      </c>
      <c r="AM127" t="s">
        <v>107</v>
      </c>
      <c r="AR127" s="63">
        <f>COUNTA(AN120:AQ120)-1</f>
        <v>3</v>
      </c>
      <c r="AT127" s="78" t="str">
        <f>AT120</f>
        <v>BNP1.FISURA  (mm) T2</v>
      </c>
      <c r="AU127" s="78" t="str">
        <f>AT121</f>
        <v>BNP1.FISURA  (mm) T2</v>
      </c>
      <c r="AV127" s="78">
        <f>ABS(AU120-AU121)</f>
        <v>8.4444444444444446</v>
      </c>
      <c r="AW127" s="78">
        <f>SQRT(AW124/AX124/HARMEAN(AV120,AV121))</f>
        <v>0.66070832734812757</v>
      </c>
      <c r="AX127" s="78">
        <f>AV127/AW127</f>
        <v>12.780896039766519</v>
      </c>
      <c r="AY127" s="78">
        <f>AV127-AW127*AY$124</f>
        <v>5.9925558416555429</v>
      </c>
      <c r="AZ127" s="78">
        <f>AV127+AW127*AY$124</f>
        <v>10.896333047233346</v>
      </c>
      <c r="BA127" s="78">
        <f>[1]!QDIST(AX127,COUNT($AV$120:$AV$123),AX$124)</f>
        <v>3.6426417437951386E-13</v>
      </c>
      <c r="BB127" s="78">
        <f>AW127*AY$124</f>
        <v>2.4518886027889013</v>
      </c>
      <c r="BC127" s="78">
        <f>AV127*SQRT(AX$124/AW$124)</f>
        <v>3.0124860864530656</v>
      </c>
      <c r="BE127" s="78" t="str">
        <f>BE120</f>
        <v>BNP1.FISURA  (mm) T2</v>
      </c>
      <c r="BF127" s="78" t="str">
        <f>BE121</f>
        <v>BNP1.FISURA  (mm) T2</v>
      </c>
      <c r="BG127" s="78">
        <f>ABS(BH120-BH121)</f>
        <v>32.611111111111114</v>
      </c>
      <c r="BH127" s="78">
        <f>SQRT(BG$124*(BG$124+1)/12/HARMEAN(BG120,BG121))</f>
        <v>5.7493961035534467</v>
      </c>
      <c r="BI127" s="78">
        <f>BG127/BH127</f>
        <v>5.6720932987997879</v>
      </c>
      <c r="BJ127" s="78">
        <f>[1]!QDIST(BI127,COUNT(BG$120:BG$123))</f>
        <v>3.6340402180845555E-4</v>
      </c>
      <c r="BK127" s="78">
        <f>BH127*BI$124</f>
        <v>20.887556044209671</v>
      </c>
    </row>
    <row r="128" spans="24:63" ht="15.75" thickTop="1" x14ac:dyDescent="0.25">
      <c r="X128" s="38">
        <v>13</v>
      </c>
      <c r="Y128" s="38">
        <v>4</v>
      </c>
      <c r="Z128">
        <v>4</v>
      </c>
      <c r="AA128">
        <v>0</v>
      </c>
      <c r="AC128" s="79" t="s">
        <v>224</v>
      </c>
      <c r="AD128" s="79" t="s">
        <v>212</v>
      </c>
      <c r="AE128" s="79" t="s">
        <v>107</v>
      </c>
      <c r="AF128" s="79" t="s">
        <v>225</v>
      </c>
      <c r="AG128" s="79" t="s">
        <v>35</v>
      </c>
      <c r="AH128" s="79" t="s">
        <v>226</v>
      </c>
      <c r="AI128" s="79" t="s">
        <v>227</v>
      </c>
      <c r="AJ128" s="79" t="s">
        <v>228</v>
      </c>
      <c r="AK128" s="79" t="s">
        <v>229</v>
      </c>
      <c r="AM128" t="s">
        <v>18</v>
      </c>
      <c r="AR128" s="63">
        <f>_xlfn.CHISQ.DIST.RT(AR126,AR127)</f>
        <v>1.4524023356944115E-13</v>
      </c>
      <c r="AT128" t="str">
        <f>AT120</f>
        <v>BNP1.FISURA  (mm) T2</v>
      </c>
      <c r="AU128" t="str">
        <f>AT122</f>
        <v>BNP3.FISURA  (mm) T1</v>
      </c>
      <c r="AV128">
        <f>ABS(AU120-AU122)</f>
        <v>5.2777777777777777</v>
      </c>
      <c r="AW128">
        <f>SQRT(AW124/AX124/HARMEAN(AV120,AV122))</f>
        <v>0.61803604838129411</v>
      </c>
      <c r="AX128">
        <f t="shared" ref="AX128:AX132" si="46">AV128/AW128</f>
        <v>8.5395953708539665</v>
      </c>
      <c r="AY128">
        <f t="shared" ref="AY128:AY132" si="47">AV128-AW128*AY$124</f>
        <v>2.9842460022347952</v>
      </c>
      <c r="AZ128">
        <f t="shared" ref="AZ128:AZ132" si="48">AV128+AW128*AY$124</f>
        <v>7.5713095533207602</v>
      </c>
      <c r="BA128">
        <f>[1]!QDIST(AX128,COUNT($AV$120:$AV$123),AX$124)</f>
        <v>2.7623990894731776E-7</v>
      </c>
      <c r="BB128">
        <f t="shared" ref="BB128:BB132" si="49">AW128*AY$124</f>
        <v>2.2935317755429825</v>
      </c>
      <c r="BC128">
        <f t="shared" ref="BC128:BC132" si="50">AV128*SQRT(AX$124/AW$124)</f>
        <v>1.8828038040331658</v>
      </c>
      <c r="BE128" t="str">
        <f>BE120</f>
        <v>BNP1.FISURA  (mm) T2</v>
      </c>
      <c r="BF128" t="str">
        <f>BE122</f>
        <v>BNP3.FISURA  (mm) T1</v>
      </c>
      <c r="BG128">
        <f>ABS(BH120-BH122)</f>
        <v>19.305555555555557</v>
      </c>
      <c r="BH128">
        <f>SQRT(BG$124*(BG$124+1)/12/HARMEAN(BG120,BG122))</f>
        <v>5.3780676000875172</v>
      </c>
      <c r="BI128">
        <f t="shared" ref="BI128:BI132" si="51">BG128/BH128</f>
        <v>3.5896825758087156</v>
      </c>
      <c r="BJ128">
        <f>[1]!QDIST(BI128,COUNT(BG$120:BG$123))</f>
        <v>5.4479474342185252E-2</v>
      </c>
      <c r="BK128">
        <f t="shared" ref="BK128:BK132" si="52">BH128*BI$124</f>
        <v>19.53851959111795</v>
      </c>
    </row>
    <row r="129" spans="24:63" x14ac:dyDescent="0.25">
      <c r="X129" s="38">
        <v>16</v>
      </c>
      <c r="Y129" s="38">
        <v>4</v>
      </c>
      <c r="Z129">
        <v>9</v>
      </c>
      <c r="AA129">
        <v>0</v>
      </c>
      <c r="AC129" t="s">
        <v>230</v>
      </c>
      <c r="AD129">
        <f>AD131-AD130</f>
        <v>1431.1984126984105</v>
      </c>
      <c r="AE129">
        <f>COUNTA(AC122:AC125)-1</f>
        <v>3</v>
      </c>
      <c r="AF129">
        <f>AD129/AE129</f>
        <v>477.06613756613683</v>
      </c>
      <c r="AG129">
        <f>AF129/AF130</f>
        <v>60.713675483450032</v>
      </c>
      <c r="AH129">
        <f>_xlfn.F.DIST.RT(AG129,AE129,AE130)</f>
        <v>1.4553488345622347E-20</v>
      </c>
      <c r="AI129">
        <f>AD129/AD131</f>
        <v>0.69482075704333857</v>
      </c>
      <c r="AJ129">
        <f>SQRT(DEVSQ(AF122:AF125)/(AF130*AE129))</f>
        <v>1.7348195470718102</v>
      </c>
      <c r="AK129">
        <f>(AD131-AE131*AF130)/(AD131+AF130)</f>
        <v>0.6807795381316214</v>
      </c>
      <c r="AM129" t="s">
        <v>112</v>
      </c>
      <c r="AR129" s="63">
        <v>0.05</v>
      </c>
      <c r="AT129" t="str">
        <f>AT120</f>
        <v>BNP1.FISURA  (mm) T2</v>
      </c>
      <c r="AU129" t="str">
        <f>AT123</f>
        <v>BNP3.FISURA  (mm) T2</v>
      </c>
      <c r="AV129">
        <f>ABS(AU120-AU123)</f>
        <v>11.361111111111111</v>
      </c>
      <c r="AW129">
        <f>SQRT(AW124/AX124/HARMEAN(AV120,AV123))</f>
        <v>0.61803604838129411</v>
      </c>
      <c r="AX129">
        <f t="shared" si="46"/>
        <v>18.382602666733014</v>
      </c>
      <c r="AY129">
        <f t="shared" si="47"/>
        <v>9.0675793355681282</v>
      </c>
      <c r="AZ129">
        <f t="shared" si="48"/>
        <v>13.654642886654093</v>
      </c>
      <c r="BA129">
        <f>[1]!QDIST(AX129,COUNT($AV$120:$AV$123),AX$124)</f>
        <v>-8.0380146982861334E-14</v>
      </c>
      <c r="BB129">
        <f t="shared" si="49"/>
        <v>2.2935317755429825</v>
      </c>
      <c r="BC129">
        <f t="shared" si="50"/>
        <v>4.0529829255240255</v>
      </c>
      <c r="BE129" t="str">
        <f>BE120</f>
        <v>BNP1.FISURA  (mm) T2</v>
      </c>
      <c r="BF129" t="str">
        <f>BE123</f>
        <v>BNP3.FISURA  (mm) T2</v>
      </c>
      <c r="BG129">
        <f>ABS(BH120-BH123)</f>
        <v>57.055555555555557</v>
      </c>
      <c r="BH129">
        <f>SQRT(BG$124*(BG$124+1)/12/HARMEAN(BG120,BG123))</f>
        <v>5.3780676000875172</v>
      </c>
      <c r="BI129">
        <f t="shared" si="51"/>
        <v>10.608932389512377</v>
      </c>
      <c r="BJ129">
        <f>[1]!QDIST(BI129,COUNT(BG$120:BG$123))</f>
        <v>5.9874327718034692E-13</v>
      </c>
      <c r="BK129">
        <f t="shared" si="52"/>
        <v>19.53851959111795</v>
      </c>
    </row>
    <row r="130" spans="24:63" x14ac:dyDescent="0.25">
      <c r="X130" s="38">
        <v>14</v>
      </c>
      <c r="Y130" s="38">
        <v>3</v>
      </c>
      <c r="Z130">
        <v>5</v>
      </c>
      <c r="AA130">
        <v>0</v>
      </c>
      <c r="AC130" t="s">
        <v>231</v>
      </c>
      <c r="AD130">
        <f>SUM(AH122:AH125)</f>
        <v>628.61111111111109</v>
      </c>
      <c r="AE130">
        <f>AE131-AE129</f>
        <v>80</v>
      </c>
      <c r="AF130">
        <f>AD130/AE130</f>
        <v>7.8576388888888884</v>
      </c>
      <c r="AM130" t="s">
        <v>137</v>
      </c>
      <c r="AR130" s="102" t="str">
        <f>IF(AR128&lt;AR129,"yes","no")</f>
        <v>yes</v>
      </c>
      <c r="AT130" t="str">
        <f>AT121</f>
        <v>BNP1.FISURA  (mm) T2</v>
      </c>
      <c r="AU130" t="str">
        <f>AT122</f>
        <v>BNP3.FISURA  (mm) T1</v>
      </c>
      <c r="AV130">
        <f>ABS(AU121-AU122)</f>
        <v>3.1666666666666665</v>
      </c>
      <c r="AW130">
        <f>SQRT(AW124/AX124/HARMEAN(AV121,AV122))</f>
        <v>0.61803604838129411</v>
      </c>
      <c r="AX130">
        <f t="shared" si="46"/>
        <v>5.1237572225123804</v>
      </c>
      <c r="AY130">
        <f t="shared" si="47"/>
        <v>0.87313489112368403</v>
      </c>
      <c r="AZ130">
        <f t="shared" si="48"/>
        <v>5.4601984422096486</v>
      </c>
      <c r="BA130">
        <f>[1]!QDIST(AX130,COUNT($AV$120:$AV$123),AX$124)</f>
        <v>2.8156856836659694E-3</v>
      </c>
      <c r="BB130">
        <f t="shared" si="49"/>
        <v>2.2935317755429825</v>
      </c>
      <c r="BC130">
        <f t="shared" si="50"/>
        <v>1.1296822824198995</v>
      </c>
      <c r="BE130" t="str">
        <f>BE121</f>
        <v>BNP1.FISURA  (mm) T2</v>
      </c>
      <c r="BF130" t="str">
        <f>BE122</f>
        <v>BNP3.FISURA  (mm) T1</v>
      </c>
      <c r="BG130">
        <f>ABS(BH121-BH122)</f>
        <v>13.305555555555557</v>
      </c>
      <c r="BH130">
        <f>SQRT(BG$124*(BG$124+1)/12/HARMEAN(BG121,BG122))</f>
        <v>5.3780676000875172</v>
      </c>
      <c r="BI130">
        <f t="shared" si="51"/>
        <v>2.4740402213127699</v>
      </c>
      <c r="BJ130">
        <f>[1]!QDIST(BI130,COUNT(BG$120:BG$123))</f>
        <v>0.29838749580308244</v>
      </c>
      <c r="BK130">
        <f t="shared" si="52"/>
        <v>19.53851959111795</v>
      </c>
    </row>
    <row r="131" spans="24:63" x14ac:dyDescent="0.25">
      <c r="X131" s="38">
        <v>10</v>
      </c>
      <c r="Y131" s="38">
        <v>2</v>
      </c>
      <c r="Z131">
        <v>6</v>
      </c>
      <c r="AA131">
        <v>0</v>
      </c>
      <c r="AC131" s="73" t="s">
        <v>38</v>
      </c>
      <c r="AD131" s="73">
        <f>DEVSQ(X119:AA142)</f>
        <v>2059.8095238095216</v>
      </c>
      <c r="AE131" s="73">
        <f>COUNT(X119:AA142)-1</f>
        <v>83</v>
      </c>
      <c r="AF131" s="73">
        <f>AD131/AE131</f>
        <v>24.816982214572548</v>
      </c>
      <c r="AG131" s="73"/>
      <c r="AH131" s="73"/>
      <c r="AI131" s="73"/>
      <c r="AJ131" s="73"/>
      <c r="AK131" s="73"/>
      <c r="AT131" t="str">
        <f>AT121</f>
        <v>BNP1.FISURA  (mm) T2</v>
      </c>
      <c r="AU131" t="str">
        <f>AT123</f>
        <v>BNP3.FISURA  (mm) T2</v>
      </c>
      <c r="AV131">
        <f>ABS(AU121-AU123)</f>
        <v>2.9166666666666665</v>
      </c>
      <c r="AW131">
        <f>SQRT(AW124/AX124/HARMEAN(AV121,AV123))</f>
        <v>0.61803604838129411</v>
      </c>
      <c r="AX131">
        <f t="shared" si="46"/>
        <v>4.7192500733666662</v>
      </c>
      <c r="AY131">
        <f t="shared" si="47"/>
        <v>0.62313489112368403</v>
      </c>
      <c r="AZ131">
        <f t="shared" si="48"/>
        <v>5.2101984422096486</v>
      </c>
      <c r="BA131">
        <f>[1]!QDIST(AX131,COUNT($AV$120:$AV$123),AX$124)</f>
        <v>6.9145393984104686E-3</v>
      </c>
      <c r="BB131">
        <f t="shared" si="49"/>
        <v>2.2935317755429825</v>
      </c>
      <c r="BC131">
        <f t="shared" si="50"/>
        <v>1.0404968390709601</v>
      </c>
      <c r="BE131" t="str">
        <f>BE121</f>
        <v>BNP1.FISURA  (mm) T2</v>
      </c>
      <c r="BF131" t="str">
        <f>BE123</f>
        <v>BNP3.FISURA  (mm) T2</v>
      </c>
      <c r="BG131">
        <f>ABS(BH121-BH123)</f>
        <v>24.444444444444443</v>
      </c>
      <c r="BH131">
        <f>SQRT(BG$124*(BG$124+1)/12/HARMEAN(BG121,BG123))</f>
        <v>5.3780676000875172</v>
      </c>
      <c r="BI131">
        <f t="shared" si="51"/>
        <v>4.5452095923908917</v>
      </c>
      <c r="BJ131">
        <f>[1]!QDIST(BI131,COUNT(BG$120:BG$123))</f>
        <v>7.2572461575639569E-3</v>
      </c>
      <c r="BK131">
        <f t="shared" si="52"/>
        <v>19.53851959111795</v>
      </c>
    </row>
    <row r="132" spans="24:63" x14ac:dyDescent="0.25">
      <c r="X132" s="38">
        <v>14</v>
      </c>
      <c r="Y132" s="38">
        <v>2</v>
      </c>
      <c r="Z132">
        <v>10</v>
      </c>
      <c r="AA132">
        <v>0</v>
      </c>
      <c r="AT132" s="73" t="str">
        <f>AT122</f>
        <v>BNP3.FISURA  (mm) T1</v>
      </c>
      <c r="AU132" s="73" t="str">
        <f>AT123</f>
        <v>BNP3.FISURA  (mm) T2</v>
      </c>
      <c r="AV132" s="73">
        <f>ABS(AU122-AU123)</f>
        <v>6.083333333333333</v>
      </c>
      <c r="AW132" s="73">
        <f>SQRT(AW124/AX124/HARMEAN(AV122,AV123))</f>
        <v>0.57219019597540322</v>
      </c>
      <c r="AX132" s="73">
        <f t="shared" si="46"/>
        <v>10.631662996188137</v>
      </c>
      <c r="AY132" s="73">
        <f t="shared" si="47"/>
        <v>3.9599355160686116</v>
      </c>
      <c r="AZ132" s="73">
        <f t="shared" si="48"/>
        <v>8.2067311505980545</v>
      </c>
      <c r="BA132" s="73">
        <f>[1]!QDIST(AX132,COUNT($AV$120:$AV$123),AX$124)</f>
        <v>4.233804418163345E-10</v>
      </c>
      <c r="BB132" s="73">
        <f t="shared" si="49"/>
        <v>2.1233978172647214</v>
      </c>
      <c r="BC132" s="73">
        <f t="shared" si="50"/>
        <v>2.1701791214908597</v>
      </c>
      <c r="BE132" s="73" t="str">
        <f>BE122</f>
        <v>BNP3.FISURA  (mm) T1</v>
      </c>
      <c r="BF132" s="73" t="str">
        <f>BE123</f>
        <v>BNP3.FISURA  (mm) T2</v>
      </c>
      <c r="BG132" s="73">
        <f>ABS(BH122-BH123)</f>
        <v>37.75</v>
      </c>
      <c r="BH132" s="73">
        <f>SQRT(BG$124*(BG$124+1)/12/HARMEAN(BG122,BG123))</f>
        <v>4.9791230820965522</v>
      </c>
      <c r="BI132" s="73">
        <f t="shared" si="51"/>
        <v>7.5816563233268504</v>
      </c>
      <c r="BJ132" s="73">
        <f>[1]!QDIST(BI132,COUNT(BG$120:BG$123))</f>
        <v>5.4432891272160333E-7</v>
      </c>
      <c r="BK132" s="73">
        <f t="shared" si="52"/>
        <v>18.089154157256775</v>
      </c>
    </row>
    <row r="133" spans="24:63" x14ac:dyDescent="0.25">
      <c r="X133" s="38">
        <v>13</v>
      </c>
      <c r="Y133" s="38">
        <v>3</v>
      </c>
      <c r="Z133">
        <v>7</v>
      </c>
      <c r="AA133">
        <v>0</v>
      </c>
    </row>
    <row r="134" spans="24:63" x14ac:dyDescent="0.25">
      <c r="X134" s="38">
        <v>14</v>
      </c>
      <c r="Y134" s="42">
        <v>3</v>
      </c>
      <c r="Z134">
        <v>2</v>
      </c>
      <c r="AA134">
        <v>0</v>
      </c>
    </row>
    <row r="135" spans="24:63" x14ac:dyDescent="0.25">
      <c r="X135" s="38">
        <v>12</v>
      </c>
      <c r="Y135" s="42">
        <v>2</v>
      </c>
      <c r="Z135">
        <v>2</v>
      </c>
      <c r="AA135">
        <v>0</v>
      </c>
    </row>
    <row r="136" spans="24:63" x14ac:dyDescent="0.25">
      <c r="X136" s="38">
        <v>16</v>
      </c>
      <c r="Y136" s="42">
        <v>2</v>
      </c>
      <c r="Z136">
        <v>1</v>
      </c>
      <c r="AA136">
        <v>0</v>
      </c>
    </row>
    <row r="137" spans="24:63" x14ac:dyDescent="0.25">
      <c r="Z137">
        <v>13</v>
      </c>
      <c r="AA137">
        <v>0</v>
      </c>
    </row>
    <row r="138" spans="24:63" x14ac:dyDescent="0.25">
      <c r="Z138">
        <v>3</v>
      </c>
      <c r="AA138">
        <v>0</v>
      </c>
    </row>
    <row r="139" spans="24:63" x14ac:dyDescent="0.25">
      <c r="Z139">
        <v>3</v>
      </c>
      <c r="AA139">
        <v>2</v>
      </c>
    </row>
    <row r="140" spans="24:63" x14ac:dyDescent="0.25">
      <c r="Z140">
        <v>2</v>
      </c>
      <c r="AA140">
        <v>2</v>
      </c>
    </row>
    <row r="141" spans="24:63" x14ac:dyDescent="0.25">
      <c r="Z141">
        <v>2</v>
      </c>
      <c r="AA141">
        <v>1</v>
      </c>
    </row>
    <row r="142" spans="24:63" x14ac:dyDescent="0.25">
      <c r="Z142">
        <v>2</v>
      </c>
      <c r="AA142">
        <v>1</v>
      </c>
    </row>
  </sheetData>
  <mergeCells count="1">
    <mergeCell ref="A1:O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CB80-B1F1-4DC3-9406-086D65BB238D}">
  <dimension ref="A1:N38"/>
  <sheetViews>
    <sheetView zoomScale="75" workbookViewId="0">
      <selection activeCell="F1" sqref="F1"/>
    </sheetView>
  </sheetViews>
  <sheetFormatPr baseColWidth="10" defaultColWidth="11.42578125" defaultRowHeight="15" x14ac:dyDescent="0.25"/>
  <cols>
    <col min="2" max="4" width="30" customWidth="1"/>
    <col min="5" max="5" width="13.85546875" bestFit="1" customWidth="1"/>
  </cols>
  <sheetData>
    <row r="1" spans="1:14" x14ac:dyDescent="0.25">
      <c r="A1" s="24" t="s">
        <v>83</v>
      </c>
      <c r="B1" s="24" t="s">
        <v>84</v>
      </c>
      <c r="C1" s="24" t="s">
        <v>0</v>
      </c>
      <c r="D1" s="24" t="s">
        <v>232</v>
      </c>
      <c r="E1" s="24" t="s">
        <v>34</v>
      </c>
    </row>
    <row r="2" spans="1:14" x14ac:dyDescent="0.25">
      <c r="A2" s="14">
        <v>1</v>
      </c>
      <c r="B2" s="15" t="s">
        <v>173</v>
      </c>
      <c r="C2" s="15" t="s">
        <v>37</v>
      </c>
      <c r="D2" s="52">
        <v>2</v>
      </c>
      <c r="E2" s="14" t="s">
        <v>52</v>
      </c>
      <c r="H2" s="46" t="s">
        <v>81</v>
      </c>
      <c r="I2" s="47"/>
      <c r="J2" s="47"/>
      <c r="K2" s="47"/>
      <c r="L2" s="47"/>
    </row>
    <row r="3" spans="1:14" x14ac:dyDescent="0.25">
      <c r="A3" s="14">
        <v>37</v>
      </c>
      <c r="B3" s="15" t="s">
        <v>157</v>
      </c>
      <c r="C3" s="15" t="s">
        <v>37</v>
      </c>
      <c r="D3" s="52">
        <v>7.333333333333333</v>
      </c>
      <c r="E3" s="14" t="s">
        <v>44</v>
      </c>
    </row>
    <row r="4" spans="1:14" x14ac:dyDescent="0.25">
      <c r="A4" s="14">
        <v>38</v>
      </c>
      <c r="B4" s="20" t="s">
        <v>160</v>
      </c>
      <c r="C4" s="15" t="s">
        <v>37</v>
      </c>
      <c r="D4" s="52">
        <v>7.333333333333333</v>
      </c>
      <c r="E4" s="14" t="s">
        <v>52</v>
      </c>
    </row>
    <row r="5" spans="1:14" x14ac:dyDescent="0.25">
      <c r="A5" s="14">
        <v>36</v>
      </c>
      <c r="B5" s="21" t="s">
        <v>154</v>
      </c>
      <c r="C5" s="15" t="s">
        <v>37</v>
      </c>
      <c r="D5" s="52">
        <v>8.5833333333333339</v>
      </c>
      <c r="E5" s="14" t="s">
        <v>44</v>
      </c>
    </row>
    <row r="6" spans="1:14" x14ac:dyDescent="0.25">
      <c r="A6" s="14">
        <v>11</v>
      </c>
      <c r="B6" s="15" t="s">
        <v>182</v>
      </c>
      <c r="C6" s="15" t="s">
        <v>37</v>
      </c>
      <c r="D6" s="52">
        <v>10.5</v>
      </c>
      <c r="E6" s="14" t="s">
        <v>52</v>
      </c>
    </row>
    <row r="7" spans="1:14" x14ac:dyDescent="0.25">
      <c r="A7" s="14">
        <v>15</v>
      </c>
      <c r="B7" s="17" t="s">
        <v>185</v>
      </c>
      <c r="C7" s="15" t="s">
        <v>37</v>
      </c>
      <c r="D7" s="52">
        <v>10.916666666666666</v>
      </c>
      <c r="E7" s="14" t="s">
        <v>52</v>
      </c>
    </row>
    <row r="8" spans="1:14" x14ac:dyDescent="0.25">
      <c r="A8" s="14">
        <v>25</v>
      </c>
      <c r="B8" s="20" t="s">
        <v>193</v>
      </c>
      <c r="C8" s="15" t="s">
        <v>37</v>
      </c>
      <c r="D8" s="52">
        <v>11.25</v>
      </c>
      <c r="E8" s="14" t="s">
        <v>52</v>
      </c>
    </row>
    <row r="9" spans="1:14" x14ac:dyDescent="0.25">
      <c r="A9" s="14">
        <v>21</v>
      </c>
      <c r="B9" s="19" t="s">
        <v>189</v>
      </c>
      <c r="C9" s="15" t="s">
        <v>37</v>
      </c>
      <c r="D9" s="52">
        <v>13.25</v>
      </c>
      <c r="E9" s="14" t="s">
        <v>52</v>
      </c>
    </row>
    <row r="10" spans="1:14" x14ac:dyDescent="0.25">
      <c r="A10" s="14">
        <v>6</v>
      </c>
      <c r="B10" s="15" t="s">
        <v>179</v>
      </c>
      <c r="C10" s="15" t="s">
        <v>37</v>
      </c>
      <c r="D10" s="52">
        <v>14.166666666666666</v>
      </c>
      <c r="E10" s="14" t="s">
        <v>44</v>
      </c>
    </row>
    <row r="11" spans="1:14" x14ac:dyDescent="0.25">
      <c r="A11" s="14">
        <v>5</v>
      </c>
      <c r="B11" s="15" t="s">
        <v>178</v>
      </c>
      <c r="C11" s="15" t="s">
        <v>35</v>
      </c>
      <c r="D11" s="52">
        <v>15.166666666666666</v>
      </c>
      <c r="E11" s="14" t="s">
        <v>44</v>
      </c>
    </row>
    <row r="12" spans="1:14" x14ac:dyDescent="0.25">
      <c r="A12" s="14">
        <v>13</v>
      </c>
      <c r="B12" s="15" t="s">
        <v>184</v>
      </c>
      <c r="C12" s="15" t="s">
        <v>35</v>
      </c>
      <c r="D12" s="52">
        <v>15.25</v>
      </c>
      <c r="E12" s="14" t="s">
        <v>52</v>
      </c>
    </row>
    <row r="13" spans="1:14" x14ac:dyDescent="0.25">
      <c r="A13" s="14">
        <v>24</v>
      </c>
      <c r="B13" s="20" t="s">
        <v>192</v>
      </c>
      <c r="C13" s="15" t="s">
        <v>35</v>
      </c>
      <c r="D13" s="52">
        <v>15.833333333333334</v>
      </c>
      <c r="E13" s="14" t="s">
        <v>52</v>
      </c>
    </row>
    <row r="14" spans="1:14" x14ac:dyDescent="0.25">
      <c r="A14" s="14">
        <v>19</v>
      </c>
      <c r="B14" s="18" t="s">
        <v>188</v>
      </c>
      <c r="C14" s="15" t="s">
        <v>37</v>
      </c>
      <c r="D14" s="52">
        <v>15.916666666666666</v>
      </c>
      <c r="E14" s="14" t="s">
        <v>44</v>
      </c>
    </row>
    <row r="15" spans="1:14" x14ac:dyDescent="0.25">
      <c r="A15" s="14">
        <v>4</v>
      </c>
      <c r="B15" s="15" t="s">
        <v>177</v>
      </c>
      <c r="C15" s="15" t="s">
        <v>35</v>
      </c>
      <c r="D15" s="52">
        <v>16.75</v>
      </c>
      <c r="E15" s="14" t="s">
        <v>52</v>
      </c>
      <c r="F15" s="51"/>
      <c r="G15" s="48"/>
      <c r="H15" s="49"/>
      <c r="I15" s="50"/>
      <c r="J15" s="48"/>
      <c r="K15" s="48"/>
      <c r="L15" s="49"/>
      <c r="M15" s="48"/>
      <c r="N15" s="49"/>
    </row>
    <row r="16" spans="1:14" x14ac:dyDescent="0.25">
      <c r="A16" s="14">
        <v>3</v>
      </c>
      <c r="B16" s="15" t="s">
        <v>176</v>
      </c>
      <c r="C16" s="15" t="s">
        <v>37</v>
      </c>
      <c r="D16" s="52">
        <v>17.333333333333332</v>
      </c>
      <c r="E16" s="14" t="s">
        <v>44</v>
      </c>
    </row>
    <row r="17" spans="1:5" x14ac:dyDescent="0.25">
      <c r="A17" s="14">
        <v>8</v>
      </c>
      <c r="B17" s="15" t="s">
        <v>181</v>
      </c>
      <c r="C17" s="15" t="s">
        <v>37</v>
      </c>
      <c r="D17" s="52">
        <v>20.416666666666668</v>
      </c>
      <c r="E17" s="14" t="s">
        <v>52</v>
      </c>
    </row>
    <row r="18" spans="1:5" x14ac:dyDescent="0.25">
      <c r="A18" s="14">
        <v>22</v>
      </c>
      <c r="B18" s="19" t="s">
        <v>190</v>
      </c>
      <c r="C18" s="15" t="s">
        <v>35</v>
      </c>
      <c r="D18" s="52">
        <v>21</v>
      </c>
      <c r="E18" s="14" t="s">
        <v>52</v>
      </c>
    </row>
    <row r="19" spans="1:5" x14ac:dyDescent="0.25">
      <c r="A19" s="14">
        <v>7</v>
      </c>
      <c r="B19" s="15" t="s">
        <v>180</v>
      </c>
      <c r="C19" s="15" t="s">
        <v>37</v>
      </c>
      <c r="D19" s="52">
        <v>22.75</v>
      </c>
      <c r="E19" s="14" t="s">
        <v>44</v>
      </c>
    </row>
    <row r="20" spans="1:5" x14ac:dyDescent="0.25">
      <c r="A20" s="14">
        <v>2</v>
      </c>
      <c r="B20" s="15" t="s">
        <v>175</v>
      </c>
      <c r="C20" s="15" t="s">
        <v>37</v>
      </c>
      <c r="D20" s="52">
        <v>25.333333333333332</v>
      </c>
      <c r="E20" s="14" t="s">
        <v>52</v>
      </c>
    </row>
    <row r="21" spans="1:5" x14ac:dyDescent="0.25">
      <c r="A21" s="14">
        <v>12</v>
      </c>
      <c r="B21" s="15" t="s">
        <v>183</v>
      </c>
      <c r="C21" s="15" t="s">
        <v>35</v>
      </c>
      <c r="D21" s="52">
        <v>30</v>
      </c>
      <c r="E21" s="14" t="s">
        <v>52</v>
      </c>
    </row>
    <row r="22" spans="1:5" x14ac:dyDescent="0.25">
      <c r="A22" s="14">
        <v>23</v>
      </c>
      <c r="B22" s="20" t="s">
        <v>191</v>
      </c>
      <c r="C22" s="15" t="s">
        <v>37</v>
      </c>
      <c r="D22" s="52">
        <v>32.166666666666664</v>
      </c>
      <c r="E22" s="14" t="s">
        <v>44</v>
      </c>
    </row>
    <row r="23" spans="1:5" x14ac:dyDescent="0.25">
      <c r="A23" s="14">
        <v>17</v>
      </c>
      <c r="B23" s="18" t="s">
        <v>187</v>
      </c>
      <c r="C23" s="15" t="s">
        <v>35</v>
      </c>
      <c r="D23" s="52">
        <v>46</v>
      </c>
      <c r="E23" s="14" t="s">
        <v>44</v>
      </c>
    </row>
    <row r="24" spans="1:5" x14ac:dyDescent="0.25">
      <c r="A24" s="14">
        <v>16</v>
      </c>
      <c r="B24" s="18" t="s">
        <v>186</v>
      </c>
      <c r="C24" s="15" t="s">
        <v>37</v>
      </c>
      <c r="D24" s="52">
        <v>175.5</v>
      </c>
      <c r="E24" s="14" t="s">
        <v>52</v>
      </c>
    </row>
    <row r="25" spans="1:5" x14ac:dyDescent="0.25">
      <c r="A25" s="35">
        <v>9</v>
      </c>
      <c r="B25" s="36" t="s">
        <v>92</v>
      </c>
      <c r="C25" s="15" t="s">
        <v>37</v>
      </c>
      <c r="D25" s="52">
        <v>0.25</v>
      </c>
      <c r="E25" s="14" t="s">
        <v>52</v>
      </c>
    </row>
    <row r="26" spans="1:5" x14ac:dyDescent="0.25">
      <c r="A26" s="35">
        <v>10</v>
      </c>
      <c r="B26" s="36" t="s">
        <v>95</v>
      </c>
      <c r="C26" s="15" t="s">
        <v>37</v>
      </c>
      <c r="D26" s="52">
        <v>0.25</v>
      </c>
      <c r="E26" s="14" t="s">
        <v>44</v>
      </c>
    </row>
    <row r="27" spans="1:5" x14ac:dyDescent="0.25">
      <c r="A27" s="35">
        <v>14</v>
      </c>
      <c r="B27" s="36" t="s">
        <v>96</v>
      </c>
      <c r="C27" s="15" t="s">
        <v>37</v>
      </c>
      <c r="D27" s="52">
        <v>0.33333333333333331</v>
      </c>
      <c r="E27" s="14" t="s">
        <v>52</v>
      </c>
    </row>
    <row r="28" spans="1:5" x14ac:dyDescent="0.25">
      <c r="A28" s="35">
        <v>18</v>
      </c>
      <c r="B28" s="40" t="s">
        <v>101</v>
      </c>
      <c r="C28" s="15" t="s">
        <v>37</v>
      </c>
      <c r="D28" s="52">
        <v>17.916666666666668</v>
      </c>
      <c r="E28" s="14" t="s">
        <v>44</v>
      </c>
    </row>
    <row r="29" spans="1:5" x14ac:dyDescent="0.25">
      <c r="A29" s="35">
        <v>26</v>
      </c>
      <c r="B29" s="36" t="s">
        <v>113</v>
      </c>
      <c r="C29" s="15" t="s">
        <v>35</v>
      </c>
      <c r="D29" s="52">
        <v>0</v>
      </c>
      <c r="E29" s="35" t="s">
        <v>31</v>
      </c>
    </row>
    <row r="30" spans="1:5" x14ac:dyDescent="0.25">
      <c r="A30" s="35">
        <v>27</v>
      </c>
      <c r="B30" s="36" t="s">
        <v>117</v>
      </c>
      <c r="C30" s="15" t="s">
        <v>35</v>
      </c>
      <c r="D30" s="52">
        <v>0</v>
      </c>
      <c r="E30" s="14" t="s">
        <v>44</v>
      </c>
    </row>
    <row r="31" spans="1:5" x14ac:dyDescent="0.25">
      <c r="A31" s="35">
        <v>28</v>
      </c>
      <c r="B31" s="36" t="s">
        <v>121</v>
      </c>
      <c r="C31" s="15" t="s">
        <v>37</v>
      </c>
      <c r="D31" s="52">
        <v>0</v>
      </c>
      <c r="E31" s="14" t="s">
        <v>44</v>
      </c>
    </row>
    <row r="32" spans="1:5" x14ac:dyDescent="0.25">
      <c r="A32" s="35">
        <v>29</v>
      </c>
      <c r="B32" s="36" t="s">
        <v>125</v>
      </c>
      <c r="C32" s="15" t="s">
        <v>35</v>
      </c>
      <c r="D32" s="52">
        <v>0</v>
      </c>
      <c r="E32" s="14" t="s">
        <v>52</v>
      </c>
    </row>
    <row r="33" spans="1:5" x14ac:dyDescent="0.25">
      <c r="A33" s="35">
        <v>30</v>
      </c>
      <c r="B33" s="36" t="s">
        <v>129</v>
      </c>
      <c r="C33" s="15" t="s">
        <v>35</v>
      </c>
      <c r="D33" s="52">
        <v>0</v>
      </c>
      <c r="E33" s="14" t="s">
        <v>52</v>
      </c>
    </row>
    <row r="34" spans="1:5" x14ac:dyDescent="0.25">
      <c r="A34" s="35">
        <v>31</v>
      </c>
      <c r="B34" s="36" t="s">
        <v>139</v>
      </c>
      <c r="C34" s="15" t="s">
        <v>35</v>
      </c>
      <c r="D34" s="52">
        <v>0</v>
      </c>
      <c r="E34" s="14" t="s">
        <v>52</v>
      </c>
    </row>
    <row r="35" spans="1:5" x14ac:dyDescent="0.25">
      <c r="A35" s="35">
        <v>32</v>
      </c>
      <c r="B35" s="36" t="s">
        <v>142</v>
      </c>
      <c r="C35" s="15" t="s">
        <v>35</v>
      </c>
      <c r="D35" s="52">
        <v>0</v>
      </c>
      <c r="E35" s="14" t="s">
        <v>52</v>
      </c>
    </row>
    <row r="36" spans="1:5" x14ac:dyDescent="0.25">
      <c r="A36" s="35">
        <v>33</v>
      </c>
      <c r="B36" s="36" t="s">
        <v>146</v>
      </c>
      <c r="C36" s="15" t="s">
        <v>37</v>
      </c>
      <c r="D36" s="52">
        <v>0</v>
      </c>
      <c r="E36" s="14" t="s">
        <v>52</v>
      </c>
    </row>
    <row r="37" spans="1:5" x14ac:dyDescent="0.25">
      <c r="A37" s="35">
        <v>34</v>
      </c>
      <c r="B37" s="36" t="s">
        <v>147</v>
      </c>
      <c r="C37" s="15" t="s">
        <v>35</v>
      </c>
      <c r="D37" s="52">
        <v>0</v>
      </c>
      <c r="E37" s="14" t="s">
        <v>44</v>
      </c>
    </row>
    <row r="38" spans="1:5" x14ac:dyDescent="0.25">
      <c r="A38" s="35">
        <v>35</v>
      </c>
      <c r="B38" s="36" t="s">
        <v>151</v>
      </c>
      <c r="C38" s="15" t="s">
        <v>35</v>
      </c>
      <c r="D38" s="52">
        <v>0</v>
      </c>
      <c r="E38" s="14" t="s">
        <v>52</v>
      </c>
    </row>
  </sheetData>
  <autoFilter ref="A1:E38" xr:uid="{B2BDCB80-B1F1-4DC3-9406-086D65BB238D}"/>
  <sortState xmlns:xlrd2="http://schemas.microsoft.com/office/spreadsheetml/2017/richdata2" ref="A2:E38">
    <sortCondition ref="D2:D3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5270-0EAD-4AD7-A3E2-3A2F9FF49CE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61E67-1E86-46BA-99EE-EAD116F382F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A7D53-D8C9-426C-A917-CE1DEE9E9729}">
  <dimension ref="A1"/>
  <sheetViews>
    <sheetView workbookViewId="0">
      <selection activeCell="D16" sqref="D1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3960C-98F1-41BE-8C44-60C3ED130CF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m m R W Z 3 j B J G k A A A A 9 g A A A B I A H A B D b 2 5 m a W c v U G F j a 2 F n Z S 5 4 b W w g o h g A K K A U A A A A A A A A A A A A A A A A A A A A A A A A A A A A h Y 9 N D o I w G E S v Q r q n P 2 C i k o + y Y C v R x M S 4 b W q F R i i G F s v d X H g k r y B G U X c u 5 8 1 b z N y v N 8 i G p g 4 u q r O 6 N S l i m K J A G d k e t C l T 1 L t j u E A Z h 4 2 Q J 1 G q Y J S N T Q Z 7 S F H l 3 D k h x H u P f Y z b r i Q R p Y z s i 9 V W V q o R 6 C P r / 3 K o j X X C S I U 4 7 F 5 j e I R Z P M N s v s Q U y A S h 0 O Y r R O P e Z / s D I e 9 r 1 3 e K K x v m a y B T B P L + w B 9 Q S w M E F A A C A A g A A m m R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J p k V k o i k e 4 D g A A A B E A A A A T A B w A R m 9 y b X V s Y X M v U 2 V j d G l v b j E u b S C i G A A o o B Q A A A A A A A A A A A A A A A A A A A A A A A A A A A A r T k 0 u y c z P U w i G 0 I b W A F B L A Q I t A B Q A A g A I A A J p k V m d 4 w S R p A A A A P Y A A A A S A A A A A A A A A A A A A A A A A A A A A A B D b 2 5 m a W c v U G F j a 2 F n Z S 5 4 b W x Q S w E C L Q A U A A I A C A A C a Z F Z D 8 r p q 6 Q A A A D p A A A A E w A A A A A A A A A A A A A A A A D w A A A A W 0 N v b n R l b n R f V H l w Z X N d L n h t b F B L A Q I t A B Q A A g A I A A J p k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e g r P h v n 0 I S 6 u l D r b R G S D R A A A A A A I A A A A A A A N m A A D A A A A A E A A A A N x e N d m Z X k U H m B d g U + P X 0 5 k A A A A A B I A A A K A A A A A Q A A A A M G / L P X y E Z S 9 n z p f D H Y z 8 4 V A A A A A W j j o u U v 1 N z s u j + c m p W C 1 Y D Z U D Y x V x M 4 3 a 1 l A Z c J 1 m P X 3 I l 5 k 3 D P V f + x / l n F y s w g / R V r X i 0 6 H e m 1 I D k Z 4 n 2 d d j L K o 0 e p 3 1 C j 8 t 9 Z r 8 t h A e K B Q A A A A q 4 U D j w Z 6 E J e K 4 I Y 7 Z M b B h D b M r A w = = < / D a t a M a s h u p > 
</file>

<file path=customXml/itemProps1.xml><?xml version="1.0" encoding="utf-8"?>
<ds:datastoreItem xmlns:ds="http://schemas.openxmlformats.org/officeDocument/2006/customXml" ds:itemID="{115167B4-9D25-40A4-8E4E-EEAE1FBE52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RESULTADOS</vt:lpstr>
      <vt:lpstr>OBJETIVOS</vt:lpstr>
      <vt:lpstr>OBJETIVO ESPECIFICO 1</vt:lpstr>
      <vt:lpstr>OBJETIVO ESPECIFICO 2</vt:lpstr>
      <vt:lpstr>DIAGNOSTICO LPHU</vt:lpstr>
      <vt:lpstr>Hoja1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  <vt:lpstr>Tabla 11</vt:lpstr>
      <vt:lpstr>Tabla 12</vt:lpstr>
      <vt:lpstr>Tabla 1 Artic</vt:lpstr>
      <vt:lpstr>Tabla 2 Artic</vt:lpstr>
      <vt:lpstr>Tabla 3 Artic</vt:lpstr>
      <vt:lpstr>Tabla 4 Artic</vt:lpstr>
      <vt:lpstr>Tabla 5 Artic</vt:lpstr>
      <vt:lpstr>Tabla 6 Artic</vt:lpstr>
      <vt:lpstr>Tabla 7 Artic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Angel Huertas Molina</dc:creator>
  <cp:keywords/>
  <dc:description/>
  <cp:lastModifiedBy>John Esteban Ramirez Rios</cp:lastModifiedBy>
  <cp:revision/>
  <dcterms:created xsi:type="dcterms:W3CDTF">2024-02-22T16:07:30Z</dcterms:created>
  <dcterms:modified xsi:type="dcterms:W3CDTF">2024-12-17T18:19:45Z</dcterms:modified>
  <cp:category/>
  <cp:contentStatus/>
</cp:coreProperties>
</file>