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ACE/Negocios/TNE 007/"/>
    </mc:Choice>
  </mc:AlternateContent>
  <xr:revisionPtr revIDLastSave="0" documentId="8_{78B6C6FD-B696-4EA9-AD2B-C445BA71036F}" xr6:coauthVersionLast="47" xr6:coauthVersionMax="47" xr10:uidLastSave="{00000000-0000-0000-0000-000000000000}"/>
  <bookViews>
    <workbookView xWindow="-120" yWindow="-120" windowWidth="20730" windowHeight="11160" tabRatio="824" xr2:uid="{00000000-000D-0000-FFFF-FFFF00000000}"/>
  </bookViews>
  <sheets>
    <sheet name="OBJETIVOS FINACIEROS" sheetId="18" r:id="rId1"/>
    <sheet name="PRODUCTOS" sheetId="1" r:id="rId2"/>
    <sheet name="VENTAS" sheetId="2" r:id="rId3"/>
    <sheet name="PRODUCCION" sheetId="3" r:id="rId4"/>
    <sheet name="COMPRAS" sheetId="4" r:id="rId5"/>
    <sheet name="CONSUMOS" sheetId="5" r:id="rId6"/>
    <sheet name="GASTOS" sheetId="6" r:id="rId7"/>
    <sheet name="COBRANZAS" sheetId="7" r:id="rId8"/>
    <sheet name="PAGOS" sheetId="8" r:id="rId9"/>
    <sheet name="INVERSIONES" sheetId="9" r:id="rId10"/>
    <sheet name="PRESTAMO" sheetId="10" r:id="rId11"/>
    <sheet name="RESULTADO" sheetId="11" r:id="rId12"/>
    <sheet name="EQUILIBRIO" sheetId="12" r:id="rId13"/>
    <sheet name="FLUJO MES" sheetId="13" r:id="rId14"/>
    <sheet name="FLUJO 5 AÑOS" sheetId="14" r:id="rId15"/>
    <sheet name="EVALUACION" sheetId="16" r:id="rId16"/>
    <sheet name="BALANCE" sheetId="17" r:id="rId17"/>
  </sheets>
  <externalReferences>
    <externalReference r:id="rId18"/>
  </externalReferences>
  <definedNames>
    <definedName name="Fecha_De_Inicio_Del_Prestamo">'[1]Programación del préstamo'!$E$7</definedName>
    <definedName name="Importe_Del_Prestamo">'[1]Programación del préstamo'!$E$3</definedName>
    <definedName name="Importe_Total_De_Intereses">SUM([1]!PaymentSchedule[INTERÉS])</definedName>
    <definedName name="LoanIsGood">('[1]Programación del préstamo'!$E$3*'[1]Programación del préstamo'!$E$4*'[1]Programación del préstamo'!$E$5*'[1]Programación del préstamo'!$E$7)&gt;0</definedName>
    <definedName name="Numero_De_Pagos_Por_Año">'[1]Programación del préstamo'!$E$6</definedName>
    <definedName name="Numero_De_Pagos_Programados">'[1]Programación del préstamo'!$I$4</definedName>
    <definedName name="Pago_Programado">'[1]Programación del préstamo'!$I$3</definedName>
    <definedName name="Pagos_Extra_Opcionales">'[1]Programación del préstamo'!$E$9</definedName>
    <definedName name="Tasa_De_Interes_Anual">'[1]Programación del préstamo'!$E$4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6" l="1"/>
  <c r="O12" i="13"/>
  <c r="D11" i="13"/>
  <c r="E11" i="13"/>
  <c r="F11" i="13"/>
  <c r="G11" i="13"/>
  <c r="H11" i="13"/>
  <c r="I11" i="13"/>
  <c r="J11" i="13"/>
  <c r="K11" i="13"/>
  <c r="L11" i="13"/>
  <c r="M11" i="13"/>
  <c r="N11" i="13"/>
  <c r="C12" i="13"/>
  <c r="C14" i="13" s="1"/>
  <c r="C13" i="13"/>
  <c r="C11" i="13"/>
  <c r="F24" i="14" l="1"/>
  <c r="G24" i="14"/>
  <c r="F9" i="10" l="1"/>
  <c r="F6" i="17" l="1"/>
  <c r="F16" i="17" l="1"/>
  <c r="E32" i="4"/>
  <c r="F32" i="4" s="1"/>
  <c r="E31" i="4"/>
  <c r="F31" i="4" s="1"/>
  <c r="C32" i="4"/>
  <c r="C31" i="4"/>
  <c r="B32" i="4"/>
  <c r="B31" i="4"/>
  <c r="D7" i="17"/>
  <c r="C28" i="14"/>
  <c r="F33" i="4" l="1"/>
  <c r="D8" i="17" s="1"/>
  <c r="G25" i="1"/>
  <c r="E22" i="11"/>
  <c r="F22" i="11"/>
  <c r="C27" i="13" l="1"/>
  <c r="O27" i="13" s="1"/>
  <c r="C22" i="14" s="1"/>
  <c r="E13" i="13"/>
  <c r="F13" i="13"/>
  <c r="G13" i="13"/>
  <c r="H13" i="13"/>
  <c r="I13" i="13"/>
  <c r="J13" i="13"/>
  <c r="K13" i="13"/>
  <c r="L13" i="13"/>
  <c r="M13" i="13"/>
  <c r="N13" i="13"/>
  <c r="D13" i="13"/>
  <c r="E12" i="13"/>
  <c r="F12" i="13"/>
  <c r="G12" i="13"/>
  <c r="H12" i="13"/>
  <c r="I12" i="13"/>
  <c r="J12" i="13"/>
  <c r="K12" i="13"/>
  <c r="L12" i="13"/>
  <c r="M12" i="13"/>
  <c r="N12" i="13"/>
  <c r="D12" i="13"/>
  <c r="D14" i="13" l="1"/>
  <c r="C29" i="13"/>
  <c r="L14" i="13"/>
  <c r="H14" i="13"/>
  <c r="K14" i="13"/>
  <c r="N14" i="13"/>
  <c r="J14" i="13"/>
  <c r="F14" i="13"/>
  <c r="M14" i="13"/>
  <c r="I14" i="13"/>
  <c r="E14" i="13"/>
  <c r="G14" i="13"/>
  <c r="G5" i="10"/>
  <c r="E11" i="10" s="1"/>
  <c r="H11" i="10" s="1"/>
  <c r="E9" i="9"/>
  <c r="C8" i="6"/>
  <c r="K7" i="9"/>
  <c r="K8" i="9" s="1"/>
  <c r="O27" i="6"/>
  <c r="B14" i="11" s="1"/>
  <c r="O24" i="6"/>
  <c r="O25" i="6"/>
  <c r="C38" i="6" s="1"/>
  <c r="O26" i="6"/>
  <c r="B13" i="11" s="1"/>
  <c r="O29" i="6"/>
  <c r="C42" i="6" s="1"/>
  <c r="D42" i="6" s="1"/>
  <c r="E42" i="6" s="1"/>
  <c r="O22" i="6"/>
  <c r="C35" i="6" l="1"/>
  <c r="D35" i="6" s="1"/>
  <c r="O11" i="13"/>
  <c r="C37" i="6"/>
  <c r="D37" i="6" s="1"/>
  <c r="O13" i="13"/>
  <c r="D38" i="6"/>
  <c r="B12" i="11"/>
  <c r="E35" i="6"/>
  <c r="D9" i="11" s="1"/>
  <c r="B11" i="11"/>
  <c r="C23" i="13"/>
  <c r="C18" i="14" s="1"/>
  <c r="D15" i="17"/>
  <c r="C16" i="11"/>
  <c r="E42" i="10"/>
  <c r="H42" i="10" s="1"/>
  <c r="E38" i="10"/>
  <c r="H38" i="10" s="1"/>
  <c r="E22" i="10"/>
  <c r="H22" i="10" s="1"/>
  <c r="E26" i="10"/>
  <c r="H26" i="10" s="1"/>
  <c r="E34" i="10"/>
  <c r="E18" i="10"/>
  <c r="H18" i="10" s="1"/>
  <c r="E10" i="10"/>
  <c r="H10" i="10" s="1"/>
  <c r="E28" i="13" s="1"/>
  <c r="E29" i="13" s="1"/>
  <c r="E30" i="10"/>
  <c r="H30" i="10" s="1"/>
  <c r="E14" i="10"/>
  <c r="H14" i="10" s="1"/>
  <c r="F42" i="6"/>
  <c r="D16" i="11"/>
  <c r="C39" i="6"/>
  <c r="D39" i="6" s="1"/>
  <c r="C36" i="6"/>
  <c r="D36" i="6" s="1"/>
  <c r="B10" i="11"/>
  <c r="B16" i="11"/>
  <c r="E45" i="10"/>
  <c r="H45" i="10" s="1"/>
  <c r="E41" i="10"/>
  <c r="H41" i="10" s="1"/>
  <c r="E37" i="10"/>
  <c r="H37" i="10" s="1"/>
  <c r="E33" i="10"/>
  <c r="H33" i="10" s="1"/>
  <c r="E29" i="10"/>
  <c r="H29" i="10" s="1"/>
  <c r="E25" i="10"/>
  <c r="H25" i="10" s="1"/>
  <c r="E21" i="10"/>
  <c r="E17" i="10"/>
  <c r="H17" i="10" s="1"/>
  <c r="E13" i="10"/>
  <c r="H13" i="10" s="1"/>
  <c r="C40" i="6"/>
  <c r="D40" i="6" s="1"/>
  <c r="E44" i="10"/>
  <c r="H44" i="10" s="1"/>
  <c r="E40" i="10"/>
  <c r="H40" i="10" s="1"/>
  <c r="E36" i="10"/>
  <c r="H36" i="10" s="1"/>
  <c r="E32" i="10"/>
  <c r="H32" i="10" s="1"/>
  <c r="E28" i="10"/>
  <c r="H28" i="10" s="1"/>
  <c r="E24" i="10"/>
  <c r="H24" i="10" s="1"/>
  <c r="E20" i="10"/>
  <c r="H20" i="10" s="1"/>
  <c r="E16" i="10"/>
  <c r="H16" i="10" s="1"/>
  <c r="E12" i="10"/>
  <c r="H12" i="10" s="1"/>
  <c r="E43" i="10"/>
  <c r="H43" i="10" s="1"/>
  <c r="E39" i="10"/>
  <c r="H39" i="10" s="1"/>
  <c r="E35" i="10"/>
  <c r="H35" i="10" s="1"/>
  <c r="E31" i="10"/>
  <c r="H31" i="10" s="1"/>
  <c r="E27" i="10"/>
  <c r="H27" i="10" s="1"/>
  <c r="E23" i="10"/>
  <c r="H23" i="10" s="1"/>
  <c r="E19" i="10"/>
  <c r="H19" i="10" s="1"/>
  <c r="E15" i="10"/>
  <c r="H15" i="10" s="1"/>
  <c r="B9" i="11"/>
  <c r="C9" i="11"/>
  <c r="D10" i="10"/>
  <c r="G9" i="6"/>
  <c r="K9" i="6"/>
  <c r="D9" i="6"/>
  <c r="H9" i="6"/>
  <c r="L9" i="6"/>
  <c r="E9" i="6"/>
  <c r="I9" i="6"/>
  <c r="M9" i="6"/>
  <c r="C9" i="6"/>
  <c r="F9" i="6"/>
  <c r="J9" i="6"/>
  <c r="N9" i="6"/>
  <c r="G3" i="6"/>
  <c r="E37" i="6" l="1"/>
  <c r="C11" i="11"/>
  <c r="O14" i="13"/>
  <c r="D9" i="14"/>
  <c r="E23" i="14"/>
  <c r="E24" i="14" s="1"/>
  <c r="O23" i="13"/>
  <c r="C10" i="16"/>
  <c r="C12" i="16" s="1"/>
  <c r="H21" i="10"/>
  <c r="D23" i="14"/>
  <c r="D24" i="14" s="1"/>
  <c r="F35" i="6"/>
  <c r="E38" i="6"/>
  <c r="C12" i="11"/>
  <c r="H34" i="10"/>
  <c r="J28" i="13"/>
  <c r="J29" i="13" s="1"/>
  <c r="K28" i="13"/>
  <c r="K29" i="13" s="1"/>
  <c r="F28" i="13"/>
  <c r="F29" i="13" s="1"/>
  <c r="M28" i="13"/>
  <c r="M29" i="13" s="1"/>
  <c r="G28" i="13"/>
  <c r="G29" i="13" s="1"/>
  <c r="D28" i="13"/>
  <c r="I28" i="13"/>
  <c r="I29" i="13" s="1"/>
  <c r="N28" i="13"/>
  <c r="N29" i="13" s="1"/>
  <c r="L28" i="13"/>
  <c r="L29" i="13" s="1"/>
  <c r="H28" i="13"/>
  <c r="H29" i="13" s="1"/>
  <c r="E40" i="6"/>
  <c r="C14" i="11"/>
  <c r="E39" i="6"/>
  <c r="C13" i="11"/>
  <c r="C9" i="14"/>
  <c r="E36" i="6"/>
  <c r="E9" i="14" s="1"/>
  <c r="C10" i="11"/>
  <c r="C10" i="10"/>
  <c r="F10" i="10" s="1"/>
  <c r="G42" i="6"/>
  <c r="F16" i="11" s="1"/>
  <c r="E16" i="11"/>
  <c r="O9" i="6"/>
  <c r="C26" i="5"/>
  <c r="C33" i="5" s="1"/>
  <c r="C25" i="5"/>
  <c r="C32" i="5" s="1"/>
  <c r="F11" i="5"/>
  <c r="E11" i="5"/>
  <c r="D11" i="5"/>
  <c r="C11" i="5"/>
  <c r="C15" i="5" s="1"/>
  <c r="H4" i="5"/>
  <c r="C7" i="4"/>
  <c r="C6" i="4"/>
  <c r="B7" i="4"/>
  <c r="F19" i="3"/>
  <c r="D13" i="3"/>
  <c r="D12" i="3" s="1"/>
  <c r="D6" i="3" s="1"/>
  <c r="H2" i="3"/>
  <c r="C6" i="3"/>
  <c r="C11" i="3" s="1"/>
  <c r="C12" i="3" s="1"/>
  <c r="C13" i="3" s="1"/>
  <c r="B6" i="3"/>
  <c r="B18" i="3" s="1"/>
  <c r="C19" i="2"/>
  <c r="C28" i="6" s="1"/>
  <c r="D7" i="2"/>
  <c r="D8" i="6" s="1"/>
  <c r="B7" i="2"/>
  <c r="B14" i="2" s="1"/>
  <c r="B19" i="2" s="1"/>
  <c r="B25" i="2" s="1"/>
  <c r="B31" i="2" s="1"/>
  <c r="H3" i="2"/>
  <c r="K25" i="1"/>
  <c r="J25" i="1"/>
  <c r="F25" i="1"/>
  <c r="E25" i="1"/>
  <c r="B6" i="4" s="1"/>
  <c r="H25" i="1" l="1"/>
  <c r="I25" i="1" s="1"/>
  <c r="F37" i="6"/>
  <c r="D11" i="11"/>
  <c r="G35" i="6"/>
  <c r="E9" i="11"/>
  <c r="O28" i="13"/>
  <c r="C23" i="14" s="1"/>
  <c r="C24" i="14" s="1"/>
  <c r="C16" i="6"/>
  <c r="D16" i="6" s="1"/>
  <c r="E16" i="6" s="1"/>
  <c r="F16" i="6" s="1"/>
  <c r="G16" i="6" s="1"/>
  <c r="D16" i="17"/>
  <c r="D17" i="17" s="1"/>
  <c r="F38" i="6"/>
  <c r="D12" i="11"/>
  <c r="D29" i="13"/>
  <c r="O29" i="13" s="1"/>
  <c r="D11" i="10"/>
  <c r="E18" i="3"/>
  <c r="C19" i="5"/>
  <c r="D19" i="2"/>
  <c r="C20" i="2"/>
  <c r="D8" i="7" s="1"/>
  <c r="E13" i="3"/>
  <c r="E12" i="3" s="1"/>
  <c r="E6" i="3" s="1"/>
  <c r="E19" i="5" s="1"/>
  <c r="F26" i="5" s="1"/>
  <c r="F40" i="6"/>
  <c r="D14" i="11"/>
  <c r="F39" i="6"/>
  <c r="D13" i="11"/>
  <c r="C30" i="6"/>
  <c r="C17" i="13" s="1"/>
  <c r="F36" i="6"/>
  <c r="F9" i="14" s="1"/>
  <c r="D10" i="11"/>
  <c r="E7" i="2"/>
  <c r="D19" i="5"/>
  <c r="D15" i="5"/>
  <c r="E15" i="5" l="1"/>
  <c r="F25" i="5" s="1"/>
  <c r="E20" i="4" s="1"/>
  <c r="E19" i="4" s="1"/>
  <c r="E6" i="4" s="1"/>
  <c r="E11" i="4" s="1"/>
  <c r="G37" i="6"/>
  <c r="F11" i="11" s="1"/>
  <c r="E11" i="11"/>
  <c r="G38" i="6"/>
  <c r="F12" i="11" s="1"/>
  <c r="E12" i="11"/>
  <c r="F9" i="11"/>
  <c r="C11" i="10"/>
  <c r="F11" i="10" s="1"/>
  <c r="D12" i="10" s="1"/>
  <c r="C12" i="10" s="1"/>
  <c r="F12" i="10" s="1"/>
  <c r="D13" i="10" s="1"/>
  <c r="C13" i="10" s="1"/>
  <c r="F13" i="10" s="1"/>
  <c r="D14" i="10" s="1"/>
  <c r="C14" i="10" s="1"/>
  <c r="F14" i="10" s="1"/>
  <c r="D15" i="10" s="1"/>
  <c r="C15" i="10" s="1"/>
  <c r="F15" i="10" s="1"/>
  <c r="E32" i="5"/>
  <c r="D28" i="6"/>
  <c r="D20" i="2"/>
  <c r="E8" i="7" s="1"/>
  <c r="E10" i="7" s="1"/>
  <c r="E12" i="7" s="1"/>
  <c r="D6" i="13" s="1"/>
  <c r="D10" i="7"/>
  <c r="D12" i="7" s="1"/>
  <c r="C6" i="13" s="1"/>
  <c r="G36" i="6"/>
  <c r="F10" i="11" s="1"/>
  <c r="E10" i="11"/>
  <c r="G40" i="6"/>
  <c r="F14" i="11" s="1"/>
  <c r="E14" i="11"/>
  <c r="E27" i="4"/>
  <c r="E26" i="4" s="1"/>
  <c r="E7" i="4" s="1"/>
  <c r="E12" i="4" s="1"/>
  <c r="E33" i="5"/>
  <c r="G39" i="6"/>
  <c r="F13" i="11" s="1"/>
  <c r="E13" i="11"/>
  <c r="F7" i="2"/>
  <c r="E8" i="6"/>
  <c r="E19" i="2"/>
  <c r="F13" i="3"/>
  <c r="F12" i="3" s="1"/>
  <c r="E26" i="5"/>
  <c r="E25" i="5"/>
  <c r="G9" i="14" l="1"/>
  <c r="G7" i="2"/>
  <c r="F8" i="6"/>
  <c r="G13" i="3"/>
  <c r="G12" i="3" s="1"/>
  <c r="F19" i="2"/>
  <c r="D33" i="5"/>
  <c r="D27" i="4"/>
  <c r="D26" i="4" s="1"/>
  <c r="D7" i="4" s="1"/>
  <c r="E28" i="6"/>
  <c r="E30" i="6" s="1"/>
  <c r="E17" i="13" s="1"/>
  <c r="E20" i="2"/>
  <c r="F8" i="7" s="1"/>
  <c r="F10" i="7" s="1"/>
  <c r="F12" i="7" s="1"/>
  <c r="E6" i="13" s="1"/>
  <c r="E34" i="5"/>
  <c r="D7" i="6" s="1"/>
  <c r="D10" i="6" s="1"/>
  <c r="D16" i="13" s="1"/>
  <c r="D20" i="4"/>
  <c r="D19" i="4" s="1"/>
  <c r="D6" i="4" s="1"/>
  <c r="D32" i="5"/>
  <c r="F6" i="3"/>
  <c r="F15" i="5"/>
  <c r="D30" i="6"/>
  <c r="E13" i="4"/>
  <c r="F7" i="8" s="1"/>
  <c r="F9" i="8" s="1"/>
  <c r="F11" i="8" s="1"/>
  <c r="D8" i="13" s="1"/>
  <c r="D16" i="10"/>
  <c r="C16" i="10" s="1"/>
  <c r="F16" i="10" s="1"/>
  <c r="D34" i="5" l="1"/>
  <c r="C7" i="6" s="1"/>
  <c r="D12" i="4"/>
  <c r="F28" i="6"/>
  <c r="F20" i="2"/>
  <c r="G8" i="7" s="1"/>
  <c r="G10" i="7" s="1"/>
  <c r="G12" i="7" s="1"/>
  <c r="F6" i="13" s="1"/>
  <c r="D17" i="13"/>
  <c r="D19" i="13" s="1"/>
  <c r="D21" i="13" s="1"/>
  <c r="D31" i="13" s="1"/>
  <c r="D11" i="4"/>
  <c r="G25" i="5"/>
  <c r="G6" i="3"/>
  <c r="G19" i="5" s="1"/>
  <c r="H26" i="5" s="1"/>
  <c r="G15" i="5"/>
  <c r="H25" i="5" s="1"/>
  <c r="F19" i="5"/>
  <c r="H7" i="2"/>
  <c r="G8" i="6"/>
  <c r="H13" i="3"/>
  <c r="H12" i="3" s="1"/>
  <c r="G19" i="2"/>
  <c r="D17" i="10"/>
  <c r="C17" i="10" s="1"/>
  <c r="F17" i="10" s="1"/>
  <c r="H6" i="3" l="1"/>
  <c r="H19" i="5" s="1"/>
  <c r="I26" i="5" s="1"/>
  <c r="H15" i="5"/>
  <c r="I25" i="5" s="1"/>
  <c r="G20" i="4"/>
  <c r="G19" i="4" s="1"/>
  <c r="G6" i="4" s="1"/>
  <c r="G11" i="4" s="1"/>
  <c r="G32" i="5"/>
  <c r="G34" i="5" s="1"/>
  <c r="F7" i="6" s="1"/>
  <c r="F10" i="6" s="1"/>
  <c r="F16" i="13" s="1"/>
  <c r="F32" i="5"/>
  <c r="F20" i="4"/>
  <c r="F19" i="4" s="1"/>
  <c r="F6" i="4" s="1"/>
  <c r="G33" i="5"/>
  <c r="G27" i="4"/>
  <c r="G26" i="4" s="1"/>
  <c r="G7" i="4" s="1"/>
  <c r="G12" i="4" s="1"/>
  <c r="I7" i="2"/>
  <c r="H8" i="6"/>
  <c r="I13" i="3"/>
  <c r="I12" i="3" s="1"/>
  <c r="H19" i="2"/>
  <c r="G26" i="5"/>
  <c r="D13" i="4"/>
  <c r="E7" i="8" s="1"/>
  <c r="E9" i="8" s="1"/>
  <c r="E11" i="8" s="1"/>
  <c r="C8" i="13" s="1"/>
  <c r="G28" i="6"/>
  <c r="G30" i="6" s="1"/>
  <c r="G17" i="13" s="1"/>
  <c r="G20" i="2"/>
  <c r="H8" i="7" s="1"/>
  <c r="H10" i="7" s="1"/>
  <c r="H12" i="7" s="1"/>
  <c r="G6" i="13" s="1"/>
  <c r="F30" i="6"/>
  <c r="C10" i="6"/>
  <c r="C16" i="13" s="1"/>
  <c r="D18" i="10"/>
  <c r="C18" i="10" s="1"/>
  <c r="F18" i="10" s="1"/>
  <c r="G13" i="4" l="1"/>
  <c r="H7" i="8" s="1"/>
  <c r="H9" i="8" s="1"/>
  <c r="H11" i="8" s="1"/>
  <c r="F8" i="13" s="1"/>
  <c r="C19" i="13"/>
  <c r="C21" i="13" s="1"/>
  <c r="C31" i="13" s="1"/>
  <c r="C35" i="13" s="1"/>
  <c r="D35" i="13" s="1"/>
  <c r="I6" i="3"/>
  <c r="I19" i="5" s="1"/>
  <c r="I15" i="5"/>
  <c r="F11" i="4"/>
  <c r="H20" i="4"/>
  <c r="H19" i="4" s="1"/>
  <c r="H6" i="4" s="1"/>
  <c r="H11" i="4" s="1"/>
  <c r="H32" i="5"/>
  <c r="J7" i="2"/>
  <c r="I8" i="6"/>
  <c r="I19" i="2"/>
  <c r="J13" i="3"/>
  <c r="J12" i="3" s="1"/>
  <c r="H28" i="6"/>
  <c r="H20" i="2"/>
  <c r="I8" i="7" s="1"/>
  <c r="F17" i="13"/>
  <c r="F19" i="13" s="1"/>
  <c r="F21" i="13" s="1"/>
  <c r="F31" i="13" s="1"/>
  <c r="F33" i="5"/>
  <c r="F27" i="4"/>
  <c r="F26" i="4" s="1"/>
  <c r="F7" i="4" s="1"/>
  <c r="H33" i="5"/>
  <c r="H27" i="4"/>
  <c r="H26" i="4" s="1"/>
  <c r="H7" i="4" s="1"/>
  <c r="H12" i="4" s="1"/>
  <c r="D19" i="10"/>
  <c r="C19" i="10" s="1"/>
  <c r="F19" i="10" s="1"/>
  <c r="H13" i="4" l="1"/>
  <c r="I7" i="8" s="1"/>
  <c r="I9" i="8" s="1"/>
  <c r="I11" i="8" s="1"/>
  <c r="G8" i="13" s="1"/>
  <c r="F12" i="4"/>
  <c r="F13" i="4" s="1"/>
  <c r="G7" i="8" s="1"/>
  <c r="G9" i="8" s="1"/>
  <c r="G11" i="8" s="1"/>
  <c r="E8" i="13" s="1"/>
  <c r="I10" i="7"/>
  <c r="I12" i="7" s="1"/>
  <c r="H6" i="13" s="1"/>
  <c r="J6" i="3"/>
  <c r="J19" i="5" s="1"/>
  <c r="K26" i="5" s="1"/>
  <c r="J15" i="5"/>
  <c r="K25" i="5" s="1"/>
  <c r="H30" i="6"/>
  <c r="I28" i="6"/>
  <c r="I30" i="6" s="1"/>
  <c r="I17" i="13" s="1"/>
  <c r="I20" i="2"/>
  <c r="J8" i="7" s="1"/>
  <c r="J10" i="7" s="1"/>
  <c r="J12" i="7" s="1"/>
  <c r="I6" i="13" s="1"/>
  <c r="H34" i="5"/>
  <c r="G7" i="6" s="1"/>
  <c r="G10" i="6" s="1"/>
  <c r="G16" i="13" s="1"/>
  <c r="G19" i="13" s="1"/>
  <c r="G21" i="13" s="1"/>
  <c r="G31" i="13" s="1"/>
  <c r="J25" i="5"/>
  <c r="F34" i="5"/>
  <c r="E7" i="6" s="1"/>
  <c r="J26" i="5"/>
  <c r="K7" i="2"/>
  <c r="J8" i="6"/>
  <c r="K13" i="3"/>
  <c r="K12" i="3" s="1"/>
  <c r="J19" i="2"/>
  <c r="D20" i="10"/>
  <c r="C20" i="10" s="1"/>
  <c r="F20" i="10" s="1"/>
  <c r="J28" i="6" l="1"/>
  <c r="J30" i="6" s="1"/>
  <c r="J17" i="13" s="1"/>
  <c r="J20" i="2"/>
  <c r="K8" i="7" s="1"/>
  <c r="K10" i="7" s="1"/>
  <c r="K12" i="7" s="1"/>
  <c r="J6" i="13" s="1"/>
  <c r="K6" i="3"/>
  <c r="K19" i="5" s="1"/>
  <c r="K15" i="5"/>
  <c r="H17" i="13"/>
  <c r="J32" i="5"/>
  <c r="J20" i="4"/>
  <c r="J19" i="4" s="1"/>
  <c r="J6" i="4" s="1"/>
  <c r="J11" i="4" s="1"/>
  <c r="I27" i="4"/>
  <c r="I26" i="4" s="1"/>
  <c r="I7" i="4" s="1"/>
  <c r="I33" i="5"/>
  <c r="I32" i="5"/>
  <c r="I20" i="4"/>
  <c r="I19" i="4" s="1"/>
  <c r="I6" i="4" s="1"/>
  <c r="L7" i="2"/>
  <c r="K8" i="6"/>
  <c r="L13" i="3"/>
  <c r="L12" i="3" s="1"/>
  <c r="K19" i="2"/>
  <c r="E10" i="6"/>
  <c r="E16" i="13" s="1"/>
  <c r="E19" i="13" s="1"/>
  <c r="E21" i="13" s="1"/>
  <c r="E31" i="13" s="1"/>
  <c r="E35" i="13" s="1"/>
  <c r="F35" i="13" s="1"/>
  <c r="G35" i="13" s="1"/>
  <c r="J27" i="4"/>
  <c r="J26" i="4" s="1"/>
  <c r="J7" i="4" s="1"/>
  <c r="J12" i="4" s="1"/>
  <c r="J33" i="5"/>
  <c r="D21" i="10"/>
  <c r="J34" i="5" l="1"/>
  <c r="I7" i="6" s="1"/>
  <c r="I10" i="6" s="1"/>
  <c r="I16" i="13" s="1"/>
  <c r="C21" i="10"/>
  <c r="F21" i="10" s="1"/>
  <c r="F10" i="17" s="1"/>
  <c r="K11" i="10"/>
  <c r="B22" i="11" s="1"/>
  <c r="L6" i="3"/>
  <c r="L19" i="5" s="1"/>
  <c r="M26" i="5" s="1"/>
  <c r="L15" i="5"/>
  <c r="M25" i="5" s="1"/>
  <c r="L26" i="5"/>
  <c r="K28" i="6"/>
  <c r="K30" i="6" s="1"/>
  <c r="K20" i="2"/>
  <c r="L8" i="7" s="1"/>
  <c r="L10" i="7" s="1"/>
  <c r="L12" i="7" s="1"/>
  <c r="K6" i="13" s="1"/>
  <c r="L25" i="5"/>
  <c r="I11" i="4"/>
  <c r="I12" i="4"/>
  <c r="M7" i="2"/>
  <c r="L8" i="6"/>
  <c r="M13" i="3"/>
  <c r="M12" i="3" s="1"/>
  <c r="L19" i="2"/>
  <c r="I34" i="5"/>
  <c r="H7" i="6" s="1"/>
  <c r="J13" i="4"/>
  <c r="K7" i="8" s="1"/>
  <c r="K9" i="8" s="1"/>
  <c r="K11" i="8" s="1"/>
  <c r="I8" i="13" s="1"/>
  <c r="I19" i="13" l="1"/>
  <c r="I21" i="13" s="1"/>
  <c r="I31" i="13" s="1"/>
  <c r="D22" i="10"/>
  <c r="C22" i="10" s="1"/>
  <c r="F22" i="10" s="1"/>
  <c r="D23" i="10" s="1"/>
  <c r="C23" i="10" s="1"/>
  <c r="F23" i="10" s="1"/>
  <c r="K17" i="13"/>
  <c r="M6" i="3"/>
  <c r="M19" i="5" s="1"/>
  <c r="M15" i="5"/>
  <c r="K32" i="5"/>
  <c r="K20" i="4"/>
  <c r="K19" i="4" s="1"/>
  <c r="K6" i="4" s="1"/>
  <c r="L33" i="5"/>
  <c r="L27" i="4"/>
  <c r="L26" i="4" s="1"/>
  <c r="L7" i="4" s="1"/>
  <c r="L12" i="4" s="1"/>
  <c r="L28" i="6"/>
  <c r="L30" i="6" s="1"/>
  <c r="L17" i="13" s="1"/>
  <c r="L20" i="2"/>
  <c r="M8" i="7" s="1"/>
  <c r="M10" i="7" s="1"/>
  <c r="M12" i="7" s="1"/>
  <c r="L6" i="13" s="1"/>
  <c r="L20" i="4"/>
  <c r="L19" i="4" s="1"/>
  <c r="L6" i="4" s="1"/>
  <c r="L11" i="4" s="1"/>
  <c r="L32" i="5"/>
  <c r="H10" i="6"/>
  <c r="H16" i="13" s="1"/>
  <c r="N7" i="2"/>
  <c r="M8" i="6"/>
  <c r="M19" i="2"/>
  <c r="N13" i="3"/>
  <c r="N12" i="3" s="1"/>
  <c r="O7" i="2"/>
  <c r="I13" i="4"/>
  <c r="J7" i="8" s="1"/>
  <c r="J9" i="8" s="1"/>
  <c r="J11" i="8" s="1"/>
  <c r="H8" i="13" s="1"/>
  <c r="K33" i="5"/>
  <c r="K27" i="4"/>
  <c r="K26" i="4" s="1"/>
  <c r="K7" i="4" s="1"/>
  <c r="H19" i="13" l="1"/>
  <c r="H21" i="13" s="1"/>
  <c r="H31" i="13" s="1"/>
  <c r="H35" i="13" s="1"/>
  <c r="I35" i="13" s="1"/>
  <c r="L13" i="4"/>
  <c r="M7" i="8" s="1"/>
  <c r="M9" i="8" s="1"/>
  <c r="M11" i="8" s="1"/>
  <c r="K8" i="13" s="1"/>
  <c r="K12" i="4"/>
  <c r="K11" i="4"/>
  <c r="N6" i="3"/>
  <c r="N19" i="5" s="1"/>
  <c r="O26" i="5" s="1"/>
  <c r="N15" i="5"/>
  <c r="O25" i="5" s="1"/>
  <c r="N25" i="5"/>
  <c r="M28" i="6"/>
  <c r="M30" i="6" s="1"/>
  <c r="M17" i="13" s="1"/>
  <c r="M20" i="2"/>
  <c r="N8" i="7" s="1"/>
  <c r="N10" i="7" s="1"/>
  <c r="N12" i="7" s="1"/>
  <c r="M6" i="13" s="1"/>
  <c r="N26" i="5"/>
  <c r="L34" i="5"/>
  <c r="K7" i="6" s="1"/>
  <c r="K10" i="6" s="1"/>
  <c r="K16" i="13" s="1"/>
  <c r="K19" i="13" s="1"/>
  <c r="K21" i="13" s="1"/>
  <c r="K31" i="13" s="1"/>
  <c r="C14" i="2"/>
  <c r="D14" i="2" s="1"/>
  <c r="D25" i="2" s="1"/>
  <c r="C31" i="2"/>
  <c r="C32" i="2" s="1"/>
  <c r="N8" i="6"/>
  <c r="O8" i="6" s="1"/>
  <c r="C15" i="6" s="1"/>
  <c r="N19" i="2"/>
  <c r="O13" i="3"/>
  <c r="O12" i="3" s="1"/>
  <c r="K34" i="5"/>
  <c r="J7" i="6" s="1"/>
  <c r="D24" i="10"/>
  <c r="C24" i="10" s="1"/>
  <c r="F24" i="10" s="1"/>
  <c r="B8" i="11" l="1"/>
  <c r="D10" i="14"/>
  <c r="N28" i="6"/>
  <c r="N20" i="2"/>
  <c r="O8" i="7" s="1"/>
  <c r="O19" i="2"/>
  <c r="O20" i="2" s="1"/>
  <c r="C25" i="2" s="1"/>
  <c r="N32" i="5"/>
  <c r="N20" i="4"/>
  <c r="N19" i="4" s="1"/>
  <c r="N6" i="4" s="1"/>
  <c r="N11" i="4" s="1"/>
  <c r="K13" i="4"/>
  <c r="L7" i="8" s="1"/>
  <c r="L9" i="8" s="1"/>
  <c r="L11" i="8" s="1"/>
  <c r="J8" i="13" s="1"/>
  <c r="J10" i="6"/>
  <c r="J16" i="13" s="1"/>
  <c r="M27" i="4"/>
  <c r="M26" i="4" s="1"/>
  <c r="M7" i="4" s="1"/>
  <c r="M33" i="5"/>
  <c r="N33" i="5"/>
  <c r="N27" i="4"/>
  <c r="N26" i="4" s="1"/>
  <c r="N7" i="4" s="1"/>
  <c r="N12" i="4" s="1"/>
  <c r="O6" i="3"/>
  <c r="O15" i="5"/>
  <c r="D15" i="6"/>
  <c r="E14" i="2"/>
  <c r="D31" i="2"/>
  <c r="M20" i="4"/>
  <c r="M19" i="4" s="1"/>
  <c r="M6" i="4" s="1"/>
  <c r="M11" i="4" s="1"/>
  <c r="M32" i="5"/>
  <c r="D25" i="10"/>
  <c r="C25" i="10" s="1"/>
  <c r="F25" i="10" s="1"/>
  <c r="D26" i="2" l="1"/>
  <c r="C4" i="11" s="1"/>
  <c r="E6" i="18"/>
  <c r="C26" i="2"/>
  <c r="B5" i="12" s="1"/>
  <c r="B14" i="12" s="1"/>
  <c r="D6" i="18"/>
  <c r="C8" i="11"/>
  <c r="E10" i="14"/>
  <c r="D14" i="6"/>
  <c r="D32" i="2"/>
  <c r="P25" i="5"/>
  <c r="P15" i="5"/>
  <c r="M12" i="4"/>
  <c r="M13" i="4" s="1"/>
  <c r="N7" i="8" s="1"/>
  <c r="N9" i="8" s="1"/>
  <c r="N11" i="8" s="1"/>
  <c r="L8" i="13" s="1"/>
  <c r="O19" i="5"/>
  <c r="P6" i="3"/>
  <c r="N13" i="4"/>
  <c r="O7" i="8" s="1"/>
  <c r="O9" i="8" s="1"/>
  <c r="O11" i="8" s="1"/>
  <c r="M8" i="13" s="1"/>
  <c r="O10" i="7"/>
  <c r="O12" i="7" s="1"/>
  <c r="N6" i="13" s="1"/>
  <c r="P8" i="7"/>
  <c r="M34" i="5"/>
  <c r="L7" i="6" s="1"/>
  <c r="F14" i="2"/>
  <c r="E15" i="6"/>
  <c r="E31" i="2"/>
  <c r="E25" i="2"/>
  <c r="J19" i="13"/>
  <c r="J21" i="13" s="1"/>
  <c r="J31" i="13" s="1"/>
  <c r="J35" i="13" s="1"/>
  <c r="K35" i="13" s="1"/>
  <c r="N34" i="5"/>
  <c r="M7" i="6" s="1"/>
  <c r="M10" i="6" s="1"/>
  <c r="M16" i="13" s="1"/>
  <c r="M19" i="13" s="1"/>
  <c r="M21" i="13" s="1"/>
  <c r="M31" i="13" s="1"/>
  <c r="N30" i="6"/>
  <c r="O28" i="6"/>
  <c r="D26" i="10"/>
  <c r="C26" i="10" s="1"/>
  <c r="F26" i="10" s="1"/>
  <c r="B4" i="11" l="1"/>
  <c r="E26" i="2"/>
  <c r="F6" i="18"/>
  <c r="D8" i="11"/>
  <c r="F10" i="14"/>
  <c r="D4" i="11"/>
  <c r="G14" i="2"/>
  <c r="F15" i="6"/>
  <c r="F25" i="2"/>
  <c r="F31" i="2"/>
  <c r="C5" i="11"/>
  <c r="C6" i="11" s="1"/>
  <c r="E7" i="18" s="1"/>
  <c r="D17" i="6"/>
  <c r="N17" i="13"/>
  <c r="O30" i="6"/>
  <c r="O17" i="13" s="1"/>
  <c r="C11" i="14" s="1"/>
  <c r="E14" i="6"/>
  <c r="E32" i="2"/>
  <c r="L10" i="6"/>
  <c r="L16" i="13" s="1"/>
  <c r="L19" i="13" s="1"/>
  <c r="L21" i="13" s="1"/>
  <c r="L31" i="13" s="1"/>
  <c r="L35" i="13" s="1"/>
  <c r="M35" i="13" s="1"/>
  <c r="P10" i="7"/>
  <c r="P12" i="7" s="1"/>
  <c r="O6" i="13" s="1"/>
  <c r="D7" i="16" s="1"/>
  <c r="P26" i="5"/>
  <c r="P19" i="5"/>
  <c r="C41" i="6"/>
  <c r="D11" i="14" s="1"/>
  <c r="B15" i="11"/>
  <c r="B18" i="11" s="1"/>
  <c r="O20" i="4"/>
  <c r="O19" i="4" s="1"/>
  <c r="O6" i="4" s="1"/>
  <c r="O32" i="5"/>
  <c r="Q25" i="5"/>
  <c r="D27" i="10"/>
  <c r="C27" i="10" s="1"/>
  <c r="F27" i="10" s="1"/>
  <c r="P15" i="7" l="1"/>
  <c r="F7" i="16" s="1"/>
  <c r="E8" i="18"/>
  <c r="F26" i="2"/>
  <c r="G7" i="16" s="1"/>
  <c r="G6" i="18"/>
  <c r="E8" i="11"/>
  <c r="G10" i="14"/>
  <c r="D6" i="17"/>
  <c r="E7" i="16"/>
  <c r="E6" i="14"/>
  <c r="D6" i="14"/>
  <c r="O33" i="5"/>
  <c r="P33" i="5" s="1"/>
  <c r="O27" i="4"/>
  <c r="O26" i="4" s="1"/>
  <c r="O7" i="4" s="1"/>
  <c r="Q26" i="5"/>
  <c r="P32" i="5"/>
  <c r="O11" i="4"/>
  <c r="P6" i="4"/>
  <c r="C6" i="14"/>
  <c r="F14" i="6"/>
  <c r="F32" i="2"/>
  <c r="D5" i="11"/>
  <c r="D6" i="11" s="1"/>
  <c r="F7" i="18" s="1"/>
  <c r="F8" i="18" s="1"/>
  <c r="E17" i="6"/>
  <c r="C43" i="6"/>
  <c r="D43" i="6" s="1"/>
  <c r="E43" i="6" s="1"/>
  <c r="F43" i="6" s="1"/>
  <c r="G43" i="6" s="1"/>
  <c r="D41" i="6"/>
  <c r="E11" i="14" s="1"/>
  <c r="P16" i="7"/>
  <c r="G15" i="6"/>
  <c r="F8" i="11" s="1"/>
  <c r="G31" i="2"/>
  <c r="G25" i="2"/>
  <c r="D28" i="10"/>
  <c r="C28" i="10" s="1"/>
  <c r="F28" i="10" s="1"/>
  <c r="E8" i="14" l="1"/>
  <c r="E4" i="11"/>
  <c r="G26" i="2"/>
  <c r="F4" i="11" s="1"/>
  <c r="H6" i="18"/>
  <c r="I6" i="18" s="1"/>
  <c r="F6" i="14"/>
  <c r="P34" i="5"/>
  <c r="G6" i="14"/>
  <c r="O34" i="5"/>
  <c r="N7" i="6" s="1"/>
  <c r="N10" i="6" s="1"/>
  <c r="N16" i="13" s="1"/>
  <c r="F8" i="14"/>
  <c r="P11" i="4"/>
  <c r="G14" i="6"/>
  <c r="G8" i="14" s="1"/>
  <c r="G32" i="2"/>
  <c r="O12" i="4"/>
  <c r="P12" i="4" s="1"/>
  <c r="P7" i="4"/>
  <c r="O7" i="6"/>
  <c r="E41" i="6"/>
  <c r="F11" i="14" s="1"/>
  <c r="C15" i="11"/>
  <c r="C18" i="11" s="1"/>
  <c r="C20" i="11" s="1"/>
  <c r="E5" i="11"/>
  <c r="E6" i="11" s="1"/>
  <c r="G7" i="18" s="1"/>
  <c r="G8" i="18" s="1"/>
  <c r="F17" i="6"/>
  <c r="D29" i="10"/>
  <c r="C29" i="10" s="1"/>
  <c r="F29" i="10" s="1"/>
  <c r="H7" i="16" l="1"/>
  <c r="P13" i="4"/>
  <c r="Q7" i="8" s="1"/>
  <c r="Q9" i="8" s="1"/>
  <c r="Q11" i="8" s="1"/>
  <c r="O8" i="13" s="1"/>
  <c r="C8" i="14" s="1"/>
  <c r="O13" i="4"/>
  <c r="P7" i="8" s="1"/>
  <c r="P9" i="8" s="1"/>
  <c r="P11" i="8" s="1"/>
  <c r="N8" i="13" s="1"/>
  <c r="N19" i="13" s="1"/>
  <c r="N21" i="13" s="1"/>
  <c r="N31" i="13" s="1"/>
  <c r="F5" i="11"/>
  <c r="F6" i="11" s="1"/>
  <c r="H7" i="18" s="1"/>
  <c r="H8" i="18" s="1"/>
  <c r="G17" i="6"/>
  <c r="F41" i="6"/>
  <c r="G11" i="14" s="1"/>
  <c r="D15" i="11"/>
  <c r="D18" i="11" s="1"/>
  <c r="D20" i="11" s="1"/>
  <c r="O10" i="6"/>
  <c r="O16" i="13" s="1"/>
  <c r="C14" i="6"/>
  <c r="D30" i="10"/>
  <c r="C30" i="10" s="1"/>
  <c r="F30" i="10" s="1"/>
  <c r="N35" i="13" l="1"/>
  <c r="O35" i="13" s="1"/>
  <c r="D5" i="17" s="1"/>
  <c r="D9" i="17" s="1"/>
  <c r="D19" i="17" s="1"/>
  <c r="C17" i="6"/>
  <c r="B6" i="12"/>
  <c r="B7" i="12" s="1"/>
  <c r="B5" i="11"/>
  <c r="B6" i="11" s="1"/>
  <c r="C10" i="14"/>
  <c r="C14" i="14" s="1"/>
  <c r="C16" i="14" s="1"/>
  <c r="C26" i="14" s="1"/>
  <c r="C30" i="14" s="1"/>
  <c r="O19" i="13"/>
  <c r="O21" i="13" s="1"/>
  <c r="O31" i="13" s="1"/>
  <c r="Q14" i="8"/>
  <c r="F5" i="17" s="1"/>
  <c r="D8" i="14" s="1"/>
  <c r="G41" i="6"/>
  <c r="F15" i="11" s="1"/>
  <c r="F18" i="11" s="1"/>
  <c r="F20" i="11" s="1"/>
  <c r="F24" i="11" s="1"/>
  <c r="E15" i="11"/>
  <c r="E18" i="11" s="1"/>
  <c r="E20" i="11" s="1"/>
  <c r="E24" i="11" s="1"/>
  <c r="Q15" i="8"/>
  <c r="D31" i="10"/>
  <c r="C31" i="10" s="1"/>
  <c r="F31" i="10" s="1"/>
  <c r="B20" i="11" l="1"/>
  <c r="B24" i="11" s="1"/>
  <c r="D7" i="18"/>
  <c r="D8" i="16"/>
  <c r="D12" i="16" s="1"/>
  <c r="E26" i="11"/>
  <c r="G12" i="14" s="1"/>
  <c r="G14" i="14" s="1"/>
  <c r="F26" i="11"/>
  <c r="D32" i="10"/>
  <c r="C32" i="10" s="1"/>
  <c r="F32" i="10" s="1"/>
  <c r="E27" i="11" l="1"/>
  <c r="B26" i="11"/>
  <c r="F7" i="17" s="1"/>
  <c r="F8" i="17" s="1"/>
  <c r="F13" i="17" s="1"/>
  <c r="F27" i="11"/>
  <c r="H9" i="18" s="1"/>
  <c r="H10" i="18" s="1"/>
  <c r="D8" i="18"/>
  <c r="I7" i="18"/>
  <c r="I8" i="18" s="1"/>
  <c r="H8" i="16"/>
  <c r="H12" i="16" s="1"/>
  <c r="G16" i="14"/>
  <c r="G26" i="14" s="1"/>
  <c r="G9" i="18"/>
  <c r="G10" i="18" s="1"/>
  <c r="D33" i="10"/>
  <c r="B8" i="12" l="1"/>
  <c r="B9" i="12" s="1"/>
  <c r="D13" i="12" s="1"/>
  <c r="E13" i="12" s="1"/>
  <c r="B27" i="11"/>
  <c r="D9" i="18" s="1"/>
  <c r="D12" i="14"/>
  <c r="D14" i="14" s="1"/>
  <c r="E8" i="16" s="1"/>
  <c r="E12" i="16" s="1"/>
  <c r="B15" i="12"/>
  <c r="D14" i="12"/>
  <c r="D15" i="12"/>
  <c r="D10" i="18"/>
  <c r="C33" i="10"/>
  <c r="F33" i="10" s="1"/>
  <c r="D34" i="10" s="1"/>
  <c r="L11" i="10"/>
  <c r="C22" i="11" s="1"/>
  <c r="C24" i="11" s="1"/>
  <c r="C13" i="12" l="1"/>
  <c r="C14" i="12" s="1"/>
  <c r="B16" i="12"/>
  <c r="C16" i="12" s="1"/>
  <c r="D16" i="12" s="1"/>
  <c r="E16" i="12" s="1"/>
  <c r="B10" i="12"/>
  <c r="D16" i="14"/>
  <c r="D26" i="14" s="1"/>
  <c r="D30" i="14" s="1"/>
  <c r="F17" i="17"/>
  <c r="F18" i="17" s="1"/>
  <c r="F19" i="17" s="1"/>
  <c r="G21" i="17" s="1"/>
  <c r="C34" i="10"/>
  <c r="F34" i="10" s="1"/>
  <c r="D35" i="10" s="1"/>
  <c r="C35" i="10" s="1"/>
  <c r="F35" i="10" s="1"/>
  <c r="C26" i="11"/>
  <c r="C27" i="11" s="1"/>
  <c r="E14" i="12" l="1"/>
  <c r="E15" i="12"/>
  <c r="E9" i="18"/>
  <c r="E12" i="14"/>
  <c r="E14" i="14" s="1"/>
  <c r="C15" i="12"/>
  <c r="D36" i="10"/>
  <c r="C36" i="10" s="1"/>
  <c r="F36" i="10" s="1"/>
  <c r="E10" i="18" l="1"/>
  <c r="F8" i="16"/>
  <c r="F12" i="16" s="1"/>
  <c r="E16" i="14"/>
  <c r="E26" i="14" s="1"/>
  <c r="E30" i="14" s="1"/>
  <c r="D37" i="10"/>
  <c r="C37" i="10" s="1"/>
  <c r="F37" i="10" s="1"/>
  <c r="D38" i="10" l="1"/>
  <c r="C38" i="10" s="1"/>
  <c r="F38" i="10" s="1"/>
  <c r="D39" i="10" l="1"/>
  <c r="C39" i="10" s="1"/>
  <c r="F39" i="10" s="1"/>
  <c r="D40" i="10" l="1"/>
  <c r="C40" i="10" s="1"/>
  <c r="F40" i="10" s="1"/>
  <c r="D41" i="10" l="1"/>
  <c r="C41" i="10" s="1"/>
  <c r="F41" i="10" s="1"/>
  <c r="D42" i="10" l="1"/>
  <c r="C42" i="10" s="1"/>
  <c r="F42" i="10" s="1"/>
  <c r="D43" i="10" l="1"/>
  <c r="C43" i="10" s="1"/>
  <c r="F43" i="10" s="1"/>
  <c r="D44" i="10" l="1"/>
  <c r="C44" i="10" s="1"/>
  <c r="F44" i="10" s="1"/>
  <c r="D45" i="10" l="1"/>
  <c r="C45" i="10" l="1"/>
  <c r="F45" i="10" s="1"/>
  <c r="M11" i="10"/>
  <c r="D22" i="11" s="1"/>
  <c r="D24" i="11" s="1"/>
  <c r="D26" i="11" l="1"/>
  <c r="D27" i="11" s="1"/>
  <c r="F9" i="18" l="1"/>
  <c r="F12" i="14"/>
  <c r="F14" i="14" s="1"/>
  <c r="F10" i="18" l="1"/>
  <c r="I9" i="18"/>
  <c r="I10" i="18" s="1"/>
  <c r="G8" i="16"/>
  <c r="G12" i="16" s="1"/>
  <c r="F16" i="14"/>
  <c r="F26" i="14" s="1"/>
  <c r="F30" i="14" s="1"/>
  <c r="G30" i="14" s="1"/>
  <c r="I12" i="16" l="1"/>
  <c r="C15" i="16" s="1"/>
  <c r="C16" i="16" s="1"/>
  <c r="C14" i="16" l="1"/>
</calcChain>
</file>

<file path=xl/sharedStrings.xml><?xml version="1.0" encoding="utf-8"?>
<sst xmlns="http://schemas.openxmlformats.org/spreadsheetml/2006/main" count="571" uniqueCount="223">
  <si>
    <t>CAFÉ TIPO GOURMET</t>
  </si>
  <si>
    <t>#</t>
  </si>
  <si>
    <t>DESCRIPCION</t>
  </si>
  <si>
    <t>UNIDAD DE MEDIDA</t>
  </si>
  <si>
    <t>PRECIO DE VENTA</t>
  </si>
  <si>
    <t>CANTIDAD C.P EN LIBRA</t>
  </si>
  <si>
    <t>CANTIDAD BL EN UNIDAD</t>
  </si>
  <si>
    <t>productos disponible para la venta</t>
  </si>
  <si>
    <t>materias primas e insumos</t>
  </si>
  <si>
    <t>COSTO UNITARIO</t>
  </si>
  <si>
    <t>DESCRIPCION CORTA</t>
  </si>
  <si>
    <t>C.P</t>
  </si>
  <si>
    <t>BL</t>
  </si>
  <si>
    <t>COSTO UNI. MP. E INSUMOS</t>
  </si>
  <si>
    <t>MARGEN CONTRIBUCION</t>
  </si>
  <si>
    <t>COSTO C.P</t>
  </si>
  <si>
    <t>COSTO BL</t>
  </si>
  <si>
    <t>CAFÉ GOURMET</t>
  </si>
  <si>
    <t>VENTAS EN UNIDADES AÑO 1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</si>
  <si>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</si>
  <si>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</si>
  <si>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</si>
  <si>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</si>
  <si>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</si>
  <si>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</si>
  <si>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</si>
  <si>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</si>
  <si>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</si>
  <si>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</si>
  <si>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</si>
  <si>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</si>
  <si>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TOTAL</t>
  </si>
  <si>
    <t xml:space="preserve">VENTAS EN UNIDADES </t>
  </si>
  <si>
    <t>AÑO 1</t>
  </si>
  <si>
    <t>AÑO 2</t>
  </si>
  <si>
    <t>AÑO 3</t>
  </si>
  <si>
    <t>AÑO 4</t>
  </si>
  <si>
    <t>AÑO 5</t>
  </si>
  <si>
    <t>VENTAS EN $ AÑO 1</t>
  </si>
  <si>
    <t>TOTAL VENTAS EN PESOS</t>
  </si>
  <si>
    <t>VENTAS ANUALES EN PESOS</t>
  </si>
  <si>
    <t>COSTO MP E INSUMOS PESOS</t>
  </si>
  <si>
    <t>COSTO MP E INSUMOS</t>
  </si>
  <si>
    <t xml:space="preserve"> CAFÉ GOURMET</t>
  </si>
  <si>
    <t>STOCK INICIAL</t>
  </si>
  <si>
    <t>PRODUCCION PLANEADA</t>
  </si>
  <si>
    <t>PLAN DE PRODUCCION</t>
  </si>
  <si>
    <t>VENTAS PROYECTADAS</t>
  </si>
  <si>
    <t>STOCK DE PRODUCTOS TERMINADOS</t>
  </si>
  <si>
    <t>STOCK</t>
  </si>
  <si>
    <t>CAFÉ PERGAMINO (MORMON AMARILLO)</t>
  </si>
  <si>
    <t>BOLSA CON VALVULA DOSIFICADORA</t>
  </si>
  <si>
    <t>LIBRA</t>
  </si>
  <si>
    <t>UNIDAD</t>
  </si>
  <si>
    <t>PLAN DE COMPRAS DE CAFÉ PERGAMINO</t>
  </si>
  <si>
    <t>COMPRAS DE CAFÉ PERGAMINO</t>
  </si>
  <si>
    <t>CONSUMO</t>
  </si>
  <si>
    <t>PLAN DE COMPRAS DE BOLSA CON VALVULA DOSIFICADORA</t>
  </si>
  <si>
    <t>COMPRAS CON BOLSA CON VALVULA DOSIFICADORA</t>
  </si>
  <si>
    <t>NECESIDAD DE MATERIAS PRIMA</t>
  </si>
  <si>
    <t>PRODUCTOS DISPONIBLES PARA LA VENTA</t>
  </si>
  <si>
    <t>CANTIDAS C.P EN LIBRAS</t>
  </si>
  <si>
    <t>NECESIDADES DE C.P</t>
  </si>
  <si>
    <t xml:space="preserve">REQUERIMIENTOS ( CONSUMOS) DE MATERIAS PRIMA </t>
  </si>
  <si>
    <t xml:space="preserve">DESCRIPCION </t>
  </si>
  <si>
    <t>NECESIDADES DE BL</t>
  </si>
  <si>
    <t>CONSUMOS DE MATERIA PRIMA EN PESOS</t>
  </si>
  <si>
    <t>TOTAL CONSUMO MP EN PESOS</t>
  </si>
  <si>
    <t>GASTOS DE PRODUCCION</t>
  </si>
  <si>
    <t>MATERIAS PRIMAS E INSUMOS</t>
  </si>
  <si>
    <t>SERVICIO DE MAQUILA</t>
  </si>
  <si>
    <t>MAQUILA</t>
  </si>
  <si>
    <t>AMORTIZACION BIENES DE USO</t>
  </si>
  <si>
    <t>%</t>
  </si>
  <si>
    <t>VENTAS EN $ POR AÑO</t>
  </si>
  <si>
    <t>VENTAS EN PESOS</t>
  </si>
  <si>
    <t>COBRANZA AL CONTADO</t>
  </si>
  <si>
    <t>PENDIENTE DE COBRO</t>
  </si>
  <si>
    <t>COMPRAS DE MP</t>
  </si>
  <si>
    <t>COMPRAS EN $ POR AÑO</t>
  </si>
  <si>
    <t>PAGOS AL CONTADO</t>
  </si>
  <si>
    <t>PENDIENTES DE PAGO</t>
  </si>
  <si>
    <t>TOTAL GASTOS DE PRODUCCION</t>
  </si>
  <si>
    <t>OTROS GASTOS</t>
  </si>
  <si>
    <t xml:space="preserve">SUELDOS DE ADMINISTRACION </t>
  </si>
  <si>
    <t>SUELDOS COMERCIALES</t>
  </si>
  <si>
    <t>CARGAS SOCIALES</t>
  </si>
  <si>
    <t>PUBLICIDAD</t>
  </si>
  <si>
    <t>IMPUESTOS Y TASAS</t>
  </si>
  <si>
    <t>VARIOS</t>
  </si>
  <si>
    <t>TOTAL OTROS GASTOS</t>
  </si>
  <si>
    <t>STOCK EN PESOS</t>
  </si>
  <si>
    <t>GASTOS POR CONBUSTIBLE</t>
  </si>
  <si>
    <t>GASTOS POR MANTENIMIENTO</t>
  </si>
  <si>
    <t>DETALLE DE INVERSION EN BIENES DE USO</t>
  </si>
  <si>
    <t>MONTO</t>
  </si>
  <si>
    <t>VIDA UTIL EN AÑOS</t>
  </si>
  <si>
    <t>VEHICULO</t>
  </si>
  <si>
    <t>AMORTIZACION</t>
  </si>
  <si>
    <t>ANUAL</t>
  </si>
  <si>
    <t>MENSUAL</t>
  </si>
  <si>
    <t>TOTAL INVERSIONES EN BIEN DE USO</t>
  </si>
  <si>
    <t>CUOTAS</t>
  </si>
  <si>
    <t>INTERES ANUAL</t>
  </si>
  <si>
    <t>INTERES MES</t>
  </si>
  <si>
    <t>TEA</t>
  </si>
  <si>
    <t>TEM</t>
  </si>
  <si>
    <t>CAPITAL</t>
  </si>
  <si>
    <t>INTERES</t>
  </si>
  <si>
    <t>SALDO</t>
  </si>
  <si>
    <t>IVA SOBRE INTERES</t>
  </si>
  <si>
    <t>IMPORTE TOTAL A PAGAR</t>
  </si>
  <si>
    <t>saldo inicial</t>
  </si>
  <si>
    <t>GRACIA DE CAPITAL</t>
  </si>
  <si>
    <t>MES</t>
  </si>
  <si>
    <t>IMPORTE DE CUOTA</t>
  </si>
  <si>
    <t>PESOS</t>
  </si>
  <si>
    <t>ventas</t>
  </si>
  <si>
    <t>costos de ventas</t>
  </si>
  <si>
    <t>utilidad bruta</t>
  </si>
  <si>
    <t>gastos de produccion fijos</t>
  </si>
  <si>
    <t>sueldos de administracion</t>
  </si>
  <si>
    <t>sueldos comerciales</t>
  </si>
  <si>
    <t>cargas sociales</t>
  </si>
  <si>
    <t>publicidas</t>
  </si>
  <si>
    <t>gastos por combustible</t>
  </si>
  <si>
    <t>gastos por mantenimiento</t>
  </si>
  <si>
    <t>impuestos y tasas</t>
  </si>
  <si>
    <t>varios</t>
  </si>
  <si>
    <t>total otros gastos</t>
  </si>
  <si>
    <t>utilidas antes de intereses e impuestos</t>
  </si>
  <si>
    <t>intereses</t>
  </si>
  <si>
    <t>utilidad antes de impuestos</t>
  </si>
  <si>
    <t>impuestos a las ganancias</t>
  </si>
  <si>
    <t>utilidas despues de impuestos</t>
  </si>
  <si>
    <t>tasa de impuesto a las ganancias</t>
  </si>
  <si>
    <t>precio promedio</t>
  </si>
  <si>
    <t>costo var. Promedio</t>
  </si>
  <si>
    <t>contribuccion marginal</t>
  </si>
  <si>
    <t>costo fijo</t>
  </si>
  <si>
    <t>equilibrio unidades</t>
  </si>
  <si>
    <t>equilibrio pesos</t>
  </si>
  <si>
    <t>flujo de fondos</t>
  </si>
  <si>
    <t>FLUJO DE FONDOS</t>
  </si>
  <si>
    <t>ingresos por ventas</t>
  </si>
  <si>
    <t>egresos por compras m. p</t>
  </si>
  <si>
    <t>sueldos y cargas</t>
  </si>
  <si>
    <t>administracion</t>
  </si>
  <si>
    <t>comerciales</t>
  </si>
  <si>
    <t>cargas sociales admin y ventas</t>
  </si>
  <si>
    <t>otros gastos de produccion</t>
  </si>
  <si>
    <t>otros gastos de admin y ventas</t>
  </si>
  <si>
    <t>total egresos operativos</t>
  </si>
  <si>
    <t>diferencia operativa</t>
  </si>
  <si>
    <t>sub total sueldos y cargas</t>
  </si>
  <si>
    <t>inversiones</t>
  </si>
  <si>
    <t>FLUJO FINANCIERO</t>
  </si>
  <si>
    <t>PRESTAMO</t>
  </si>
  <si>
    <t>devolucion prestamo</t>
  </si>
  <si>
    <t>total flujo financiero</t>
  </si>
  <si>
    <t>diferencia egresos e ingresos</t>
  </si>
  <si>
    <t>aporte del emprendedor</t>
  </si>
  <si>
    <t>egresos por compras M.P</t>
  </si>
  <si>
    <t xml:space="preserve">sueldos y cargos </t>
  </si>
  <si>
    <t xml:space="preserve">otros gastos de produccion </t>
  </si>
  <si>
    <t>otros gastos admin y ventas</t>
  </si>
  <si>
    <t>impuesto a las ganacias</t>
  </si>
  <si>
    <t>flujo financiero</t>
  </si>
  <si>
    <t>prestamo</t>
  </si>
  <si>
    <t>devolucion del prestamo</t>
  </si>
  <si>
    <t>diferencia ingresos-egresos</t>
  </si>
  <si>
    <t>año 1</t>
  </si>
  <si>
    <t>año 2</t>
  </si>
  <si>
    <t>año 3</t>
  </si>
  <si>
    <t>año 4 0</t>
  </si>
  <si>
    <t>año 5</t>
  </si>
  <si>
    <t>unidades</t>
  </si>
  <si>
    <t>costo total</t>
  </si>
  <si>
    <t>Activo</t>
  </si>
  <si>
    <t xml:space="preserve">caja </t>
  </si>
  <si>
    <t>creditos</t>
  </si>
  <si>
    <t>productos terminados</t>
  </si>
  <si>
    <t>materias primas</t>
  </si>
  <si>
    <t>Activo corriente</t>
  </si>
  <si>
    <t>bienes de uso</t>
  </si>
  <si>
    <t>amortizacion bien de uso</t>
  </si>
  <si>
    <t>activo no corriente</t>
  </si>
  <si>
    <t>total activo</t>
  </si>
  <si>
    <t>Pasivo</t>
  </si>
  <si>
    <t>proveedores</t>
  </si>
  <si>
    <t>impuestos a pagar</t>
  </si>
  <si>
    <t>pasivo corriente</t>
  </si>
  <si>
    <t>prestamos</t>
  </si>
  <si>
    <t>pasivo no corriente</t>
  </si>
  <si>
    <t>total pasivo</t>
  </si>
  <si>
    <t>patrimonio neto</t>
  </si>
  <si>
    <t>capital</t>
  </si>
  <si>
    <t>resultado</t>
  </si>
  <si>
    <t>total pasivo + patri</t>
  </si>
  <si>
    <t>PLAN DE COMPRAS EN UNIDADES</t>
  </si>
  <si>
    <t>PRESUPUESTO DE COMRAS EN PESOS</t>
  </si>
  <si>
    <t>STOCK FINAL</t>
  </si>
  <si>
    <t>UNIDADES</t>
  </si>
  <si>
    <t>FLUJO DEL PROYECTO</t>
  </si>
  <si>
    <t>INGRESOS POR VENTAS</t>
  </si>
  <si>
    <t>EGRESOS OPERATIVOS</t>
  </si>
  <si>
    <t xml:space="preserve">INVERSION </t>
  </si>
  <si>
    <t>AÑO 0</t>
  </si>
  <si>
    <t>TAZA INTERNA DE RETORNO</t>
  </si>
  <si>
    <t>VALOR ACTUAL NETO</t>
  </si>
  <si>
    <t>VENTAS</t>
  </si>
  <si>
    <t>UTILIDAD MARGINAL</t>
  </si>
  <si>
    <t>UTILIDAD DESPUES DE IMPUESTOS</t>
  </si>
  <si>
    <t>EL COSTO UNITARIO POR 700 PESOS ES EL VALOR QUE ME CUESTA CADA BOLSA POR LIBRA DE CAFÉ</t>
  </si>
  <si>
    <t>EL COSTO UNITARIO POR LOS 3.400 PESOS ES EL VALOR QUE ME CUESTA LA LIBRA PROCESADA CADA UNA</t>
  </si>
  <si>
    <t>MES 13</t>
  </si>
  <si>
    <t>Porcentaje</t>
  </si>
  <si>
    <t>RUBRO/AÑO</t>
  </si>
  <si>
    <t>OBJETIVOS FINANCEIROS AÑO A ÑO</t>
  </si>
  <si>
    <t>DIFERENCIA OPERATIVA</t>
  </si>
  <si>
    <t>Promedio anual TIR</t>
  </si>
  <si>
    <t>grafica</t>
  </si>
  <si>
    <t>tasa de ganancia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</si>
</sst>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 tint="0.2499465926084170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4" fillId="4" borderId="0" applyFont="0" applyFill="0" applyBorder="0" applyProtection="0">
      <alignment horizontal="right" indent="2"/>
    </xf>
    <xf numFmtId="14" fontId="4" fillId="0" borderId="0" applyFont="0" applyFill="0" applyBorder="0" applyAlignment="0"/>
    <xf numFmtId="1" fontId="4" fillId="3" borderId="0" applyFont="0" applyFill="0" applyBorder="0" applyAlignment="0"/>
    <xf numFmtId="0" fontId="3" fillId="5" borderId="0" applyBorder="0" applyProtection="0">
      <alignment horizontal="right" vertical="center" wrapText="1" indent="2"/>
    </xf>
    <xf numFmtId="167" fontId="4" fillId="4" borderId="0" applyFont="0" applyFill="0" applyBorder="0" applyAlignment="0" applyProtection="0"/>
    <xf numFmtId="167" fontId="4" fillId="3" borderId="0" applyFont="0" applyAlignment="0">
      <alignment horizontal="center" vertical="center" wrapText="1"/>
    </xf>
  </cellStyleXfs>
  <cellXfs count="147">
    <xf numFmtId="0" fontId="0" fillId="0" borderId="0" xfId="0"/>
    <xf numFmtId="164" fontId="0" fillId="0" borderId="0" xfId="1" applyFont="1" applyAlignment="1">
      <alignment wrapText="1"/>
    </xf>
    <xf numFmtId="0" fontId="2" fillId="0" borderId="0" xfId="0" applyFont="1"/>
    <xf numFmtId="164" fontId="0" fillId="0" borderId="0" xfId="1" applyFont="1"/>
    <xf numFmtId="164" fontId="2" fillId="0" borderId="0" xfId="1" applyFont="1"/>
    <xf numFmtId="164" fontId="2" fillId="0" borderId="1" xfId="1" applyFont="1" applyBorder="1" applyAlignment="1">
      <alignment horizontal="center" wrapText="1"/>
    </xf>
    <xf numFmtId="164" fontId="2" fillId="0" borderId="1" xfId="1" applyFont="1" applyBorder="1" applyAlignment="1">
      <alignment wrapText="1"/>
    </xf>
    <xf numFmtId="164" fontId="0" fillId="0" borderId="1" xfId="1" applyFont="1" applyBorder="1" applyAlignment="1">
      <alignment wrapText="1"/>
    </xf>
    <xf numFmtId="164" fontId="0" fillId="0" borderId="1" xfId="1" applyFont="1" applyBorder="1"/>
    <xf numFmtId="164" fontId="0" fillId="0" borderId="2" xfId="1" applyFont="1" applyBorder="1"/>
    <xf numFmtId="164" fontId="2" fillId="0" borderId="3" xfId="1" applyFont="1" applyBorder="1" applyAlignment="1">
      <alignment horizontal="center" wrapText="1"/>
    </xf>
    <xf numFmtId="164" fontId="2" fillId="0" borderId="4" xfId="1" applyFont="1" applyBorder="1" applyAlignment="1">
      <alignment horizontal="center" wrapText="1"/>
    </xf>
    <xf numFmtId="164" fontId="2" fillId="0" borderId="5" xfId="1" applyFont="1" applyBorder="1" applyAlignment="1">
      <alignment wrapText="1"/>
    </xf>
    <xf numFmtId="164" fontId="0" fillId="0" borderId="2" xfId="1" applyFont="1" applyBorder="1" applyAlignment="1">
      <alignment wrapText="1"/>
    </xf>
    <xf numFmtId="164" fontId="2" fillId="0" borderId="4" xfId="1" applyFont="1" applyBorder="1" applyAlignment="1">
      <alignment wrapText="1"/>
    </xf>
    <xf numFmtId="0" fontId="0" fillId="0" borderId="2" xfId="1" applyNumberFormat="1" applyFont="1" applyBorder="1" applyAlignment="1">
      <alignment wrapText="1"/>
    </xf>
    <xf numFmtId="0" fontId="0" fillId="0" borderId="2" xfId="1" applyNumberFormat="1" applyFont="1" applyBorder="1"/>
    <xf numFmtId="0" fontId="0" fillId="0" borderId="1" xfId="1" applyNumberFormat="1" applyFont="1" applyBorder="1"/>
    <xf numFmtId="0" fontId="0" fillId="0" borderId="0" xfId="1" applyNumberFormat="1" applyFont="1"/>
    <xf numFmtId="164" fontId="2" fillId="0" borderId="6" xfId="1" applyFont="1" applyBorder="1" applyAlignment="1">
      <alignment horizontal="center" wrapText="1"/>
    </xf>
    <xf numFmtId="164" fontId="2" fillId="0" borderId="7" xfId="1" applyFont="1" applyBorder="1" applyAlignment="1">
      <alignment horizontal="center" wrapText="1"/>
    </xf>
    <xf numFmtId="164" fontId="2" fillId="0" borderId="7" xfId="1" applyFont="1" applyBorder="1" applyAlignment="1">
      <alignment wrapText="1"/>
    </xf>
    <xf numFmtId="164" fontId="2" fillId="0" borderId="8" xfId="1" applyFont="1" applyBorder="1" applyAlignment="1">
      <alignment wrapText="1"/>
    </xf>
    <xf numFmtId="164" fontId="2" fillId="0" borderId="9" xfId="1" applyFont="1" applyBorder="1" applyAlignment="1">
      <alignment horizontal="center" wrapText="1"/>
    </xf>
    <xf numFmtId="164" fontId="0" fillId="0" borderId="0" xfId="0" applyNumberFormat="1"/>
    <xf numFmtId="0" fontId="0" fillId="0" borderId="1" xfId="0" applyBorder="1"/>
    <xf numFmtId="0" fontId="2" fillId="0" borderId="1" xfId="0" applyFont="1" applyBorder="1"/>
    <xf numFmtId="164" fontId="2" fillId="0" borderId="6" xfId="1" applyFont="1" applyBorder="1" applyAlignment="1">
      <alignment horizontal="center"/>
    </xf>
    <xf numFmtId="164" fontId="2" fillId="0" borderId="7" xfId="1" applyFont="1" applyBorder="1" applyAlignment="1"/>
    <xf numFmtId="165" fontId="0" fillId="0" borderId="1" xfId="1" applyNumberFormat="1" applyFont="1" applyBorder="1"/>
    <xf numFmtId="164" fontId="2" fillId="0" borderId="1" xfId="1" applyFont="1" applyBorder="1" applyAlignment="1">
      <alignment horizontal="center"/>
    </xf>
    <xf numFmtId="164" fontId="2" fillId="0" borderId="1" xfId="1" applyFont="1" applyBorder="1" applyAlignment="1"/>
    <xf numFmtId="164" fontId="2" fillId="0" borderId="1" xfId="1" applyFont="1" applyBorder="1"/>
    <xf numFmtId="165" fontId="2" fillId="0" borderId="1" xfId="1" applyNumberFormat="1" applyFont="1" applyBorder="1"/>
    <xf numFmtId="164" fontId="0" fillId="0" borderId="10" xfId="1" applyFont="1" applyBorder="1"/>
    <xf numFmtId="164" fontId="2" fillId="0" borderId="10" xfId="1" applyFont="1" applyBorder="1"/>
    <xf numFmtId="165" fontId="2" fillId="0" borderId="10" xfId="1" applyNumberFormat="1" applyFont="1" applyBorder="1"/>
    <xf numFmtId="164" fontId="0" fillId="0" borderId="1" xfId="0" applyNumberFormat="1" applyBorder="1"/>
    <xf numFmtId="164" fontId="2" fillId="0" borderId="0" xfId="0" applyNumberFormat="1" applyFont="1"/>
    <xf numFmtId="1" fontId="0" fillId="0" borderId="1" xfId="0" applyNumberForma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164" fontId="2" fillId="0" borderId="2" xfId="1" applyFont="1" applyBorder="1" applyAlignment="1">
      <alignment horizontal="center"/>
    </xf>
    <xf numFmtId="165" fontId="0" fillId="0" borderId="1" xfId="0" applyNumberFormat="1" applyBorder="1"/>
    <xf numFmtId="164" fontId="0" fillId="0" borderId="1" xfId="1" applyFont="1" applyBorder="1" applyAlignment="1"/>
    <xf numFmtId="0" fontId="2" fillId="0" borderId="1" xfId="1" applyNumberFormat="1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center"/>
    </xf>
    <xf numFmtId="0" fontId="2" fillId="0" borderId="1" xfId="1" applyNumberFormat="1" applyFont="1" applyBorder="1"/>
    <xf numFmtId="164" fontId="1" fillId="0" borderId="1" xfId="1" applyFont="1" applyBorder="1"/>
    <xf numFmtId="165" fontId="2" fillId="0" borderId="0" xfId="0" applyNumberFormat="1" applyFont="1"/>
    <xf numFmtId="165" fontId="0" fillId="0" borderId="0" xfId="1" applyNumberFormat="1" applyFont="1"/>
    <xf numFmtId="165" fontId="2" fillId="0" borderId="0" xfId="1" applyNumberFormat="1" applyFont="1"/>
    <xf numFmtId="165" fontId="2" fillId="0" borderId="1" xfId="1" applyNumberFormat="1" applyFont="1" applyBorder="1" applyAlignment="1"/>
    <xf numFmtId="165" fontId="2" fillId="0" borderId="1" xfId="1" applyNumberFormat="1" applyFont="1" applyBorder="1" applyAlignment="1">
      <alignment wrapText="1"/>
    </xf>
    <xf numFmtId="9" fontId="2" fillId="0" borderId="1" xfId="2" applyFont="1" applyBorder="1" applyAlignment="1">
      <alignment horizontal="center" wrapText="1"/>
    </xf>
    <xf numFmtId="9" fontId="0" fillId="0" borderId="0" xfId="2" applyFont="1"/>
    <xf numFmtId="9" fontId="0" fillId="0" borderId="1" xfId="2" applyFont="1" applyBorder="1"/>
    <xf numFmtId="9" fontId="2" fillId="0" borderId="1" xfId="2" applyFont="1" applyBorder="1"/>
    <xf numFmtId="165" fontId="2" fillId="0" borderId="11" xfId="1" applyNumberFormat="1" applyFont="1" applyBorder="1"/>
    <xf numFmtId="164" fontId="0" fillId="0" borderId="12" xfId="1" applyFont="1" applyBorder="1"/>
    <xf numFmtId="164" fontId="0" fillId="0" borderId="13" xfId="1" applyFont="1" applyBorder="1"/>
    <xf numFmtId="164" fontId="0" fillId="0" borderId="14" xfId="1" applyFont="1" applyBorder="1"/>
    <xf numFmtId="164" fontId="0" fillId="0" borderId="15" xfId="1" applyFont="1" applyBorder="1"/>
    <xf numFmtId="164" fontId="0" fillId="0" borderId="0" xfId="1" applyFont="1" applyBorder="1"/>
    <xf numFmtId="164" fontId="0" fillId="0" borderId="16" xfId="1" applyFont="1" applyBorder="1"/>
    <xf numFmtId="164" fontId="2" fillId="0" borderId="15" xfId="1" applyFont="1" applyBorder="1"/>
    <xf numFmtId="164" fontId="2" fillId="0" borderId="0" xfId="1" applyFont="1" applyBorder="1"/>
    <xf numFmtId="164" fontId="2" fillId="0" borderId="16" xfId="1" applyFont="1" applyBorder="1"/>
    <xf numFmtId="164" fontId="2" fillId="0" borderId="17" xfId="1" applyFont="1" applyBorder="1"/>
    <xf numFmtId="164" fontId="2" fillId="0" borderId="18" xfId="1" applyFont="1" applyBorder="1"/>
    <xf numFmtId="9" fontId="2" fillId="0" borderId="19" xfId="2" applyFont="1" applyBorder="1"/>
    <xf numFmtId="0" fontId="0" fillId="0" borderId="0" xfId="0" applyAlignment="1">
      <alignment wrapText="1"/>
    </xf>
    <xf numFmtId="164" fontId="2" fillId="0" borderId="3" xfId="1" applyFont="1" applyBorder="1" applyAlignment="1">
      <alignment horizontal="center"/>
    </xf>
    <xf numFmtId="164" fontId="2" fillId="0" borderId="4" xfId="1" applyFont="1" applyBorder="1" applyAlignment="1">
      <alignment horizontal="center"/>
    </xf>
    <xf numFmtId="164" fontId="2" fillId="0" borderId="5" xfId="1" applyFont="1" applyBorder="1" applyAlignment="1">
      <alignment horizontal="center" wrapText="1"/>
    </xf>
    <xf numFmtId="0" fontId="2" fillId="0" borderId="22" xfId="0" applyFont="1" applyBorder="1"/>
    <xf numFmtId="0" fontId="2" fillId="0" borderId="25" xfId="0" applyFont="1" applyBorder="1"/>
    <xf numFmtId="165" fontId="2" fillId="0" borderId="23" xfId="1" applyNumberFormat="1" applyFont="1" applyBorder="1"/>
    <xf numFmtId="165" fontId="2" fillId="0" borderId="24" xfId="1" applyNumberFormat="1" applyFont="1" applyBorder="1"/>
    <xf numFmtId="165" fontId="2" fillId="0" borderId="26" xfId="1" applyNumberFormat="1" applyFont="1" applyBorder="1"/>
    <xf numFmtId="9" fontId="2" fillId="0" borderId="23" xfId="2" applyFont="1" applyBorder="1"/>
    <xf numFmtId="10" fontId="2" fillId="0" borderId="10" xfId="2" applyNumberFormat="1" applyFont="1" applyBorder="1"/>
    <xf numFmtId="0" fontId="2" fillId="0" borderId="12" xfId="0" applyFont="1" applyBorder="1" applyAlignment="1">
      <alignment wrapText="1"/>
    </xf>
    <xf numFmtId="165" fontId="2" fillId="0" borderId="13" xfId="1" applyNumberFormat="1" applyFont="1" applyBorder="1" applyAlignment="1">
      <alignment wrapText="1"/>
    </xf>
    <xf numFmtId="165" fontId="2" fillId="0" borderId="14" xfId="1" applyNumberFormat="1" applyFont="1" applyBorder="1" applyAlignment="1">
      <alignment wrapText="1"/>
    </xf>
    <xf numFmtId="9" fontId="0" fillId="2" borderId="0" xfId="2" applyFont="1" applyFill="1"/>
    <xf numFmtId="165" fontId="2" fillId="0" borderId="3" xfId="1" applyNumberFormat="1" applyFont="1" applyBorder="1"/>
    <xf numFmtId="165" fontId="2" fillId="0" borderId="4" xfId="1" applyNumberFormat="1" applyFont="1" applyBorder="1"/>
    <xf numFmtId="165" fontId="2" fillId="0" borderId="5" xfId="1" applyNumberFormat="1" applyFont="1" applyBorder="1"/>
    <xf numFmtId="165" fontId="0" fillId="0" borderId="28" xfId="1" applyNumberFormat="1" applyFont="1" applyBorder="1"/>
    <xf numFmtId="165" fontId="2" fillId="0" borderId="27" xfId="1" applyNumberFormat="1" applyFont="1" applyBorder="1"/>
    <xf numFmtId="165" fontId="0" fillId="0" borderId="2" xfId="1" applyNumberFormat="1" applyFont="1" applyBorder="1"/>
    <xf numFmtId="165" fontId="0" fillId="2" borderId="0" xfId="1" applyNumberFormat="1" applyFont="1" applyFill="1"/>
    <xf numFmtId="165" fontId="0" fillId="0" borderId="0" xfId="0" applyNumberFormat="1"/>
    <xf numFmtId="41" fontId="0" fillId="0" borderId="0" xfId="3" applyFont="1"/>
    <xf numFmtId="41" fontId="0" fillId="0" borderId="0" xfId="3" applyFont="1" applyBorder="1"/>
    <xf numFmtId="41" fontId="0" fillId="0" borderId="1" xfId="3" applyFont="1" applyBorder="1"/>
    <xf numFmtId="41" fontId="0" fillId="0" borderId="0" xfId="0" applyNumberFormat="1"/>
    <xf numFmtId="0" fontId="0" fillId="0" borderId="21" xfId="0" applyBorder="1"/>
    <xf numFmtId="0" fontId="0" fillId="0" borderId="11" xfId="0" applyBorder="1"/>
    <xf numFmtId="41" fontId="0" fillId="0" borderId="11" xfId="3" applyFont="1" applyBorder="1"/>
    <xf numFmtId="0" fontId="0" fillId="0" borderId="2" xfId="0" applyBorder="1"/>
    <xf numFmtId="41" fontId="0" fillId="0" borderId="2" xfId="3" applyFont="1" applyBorder="1"/>
    <xf numFmtId="0" fontId="2" fillId="0" borderId="3" xfId="0" applyFont="1" applyBorder="1"/>
    <xf numFmtId="0" fontId="2" fillId="0" borderId="10" xfId="0" applyFont="1" applyBorder="1"/>
    <xf numFmtId="41" fontId="2" fillId="0" borderId="10" xfId="3" applyFont="1" applyBorder="1"/>
    <xf numFmtId="41" fontId="2" fillId="0" borderId="5" xfId="3" applyFont="1" applyBorder="1"/>
    <xf numFmtId="165" fontId="2" fillId="0" borderId="11" xfId="1" applyNumberFormat="1" applyFont="1" applyBorder="1" applyAlignment="1"/>
    <xf numFmtId="165" fontId="2" fillId="0" borderId="11" xfId="1" applyNumberFormat="1" applyFont="1" applyBorder="1" applyAlignment="1">
      <alignment wrapText="1"/>
    </xf>
    <xf numFmtId="165" fontId="2" fillId="0" borderId="1" xfId="1" applyNumberFormat="1" applyFont="1" applyBorder="1" applyAlignment="1">
      <alignment horizontal="center"/>
    </xf>
    <xf numFmtId="164" fontId="0" fillId="0" borderId="20" xfId="1" applyFont="1" applyBorder="1"/>
    <xf numFmtId="166" fontId="2" fillId="0" borderId="0" xfId="1" applyNumberFormat="1" applyFont="1"/>
    <xf numFmtId="165" fontId="2" fillId="0" borderId="29" xfId="1" applyNumberFormat="1" applyFont="1" applyBorder="1"/>
    <xf numFmtId="165" fontId="0" fillId="0" borderId="0" xfId="1" applyNumberFormat="1" applyFont="1" applyAlignment="1">
      <alignment horizontal="center"/>
    </xf>
    <xf numFmtId="0" fontId="2" fillId="0" borderId="36" xfId="0" applyFont="1" applyBorder="1" applyAlignment="1">
      <alignment horizontal="center" wrapText="1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3" fontId="0" fillId="0" borderId="38" xfId="0" applyNumberFormat="1" applyBorder="1"/>
    <xf numFmtId="9" fontId="0" fillId="0" borderId="38" xfId="0" applyNumberFormat="1" applyBorder="1" applyAlignment="1">
      <alignment horizontal="center"/>
    </xf>
    <xf numFmtId="3" fontId="0" fillId="0" borderId="38" xfId="0" applyNumberFormat="1" applyBorder="1" applyAlignment="1">
      <alignment vertical="center"/>
    </xf>
    <xf numFmtId="3" fontId="0" fillId="0" borderId="40" xfId="0" applyNumberFormat="1" applyBorder="1"/>
    <xf numFmtId="9" fontId="0" fillId="0" borderId="40" xfId="0" applyNumberFormat="1" applyBorder="1" applyAlignment="1">
      <alignment horizontal="center"/>
    </xf>
    <xf numFmtId="3" fontId="0" fillId="0" borderId="40" xfId="0" applyNumberFormat="1" applyBorder="1" applyAlignment="1">
      <alignment vertical="center"/>
    </xf>
    <xf numFmtId="41" fontId="0" fillId="0" borderId="43" xfId="0" applyNumberFormat="1" applyBorder="1"/>
    <xf numFmtId="9" fontId="0" fillId="0" borderId="43" xfId="0" applyNumberFormat="1" applyBorder="1" applyAlignment="1">
      <alignment horizontal="center"/>
    </xf>
    <xf numFmtId="3" fontId="0" fillId="0" borderId="43" xfId="0" applyNumberFormat="1" applyBorder="1" applyAlignment="1">
      <alignment vertical="center"/>
    </xf>
    <xf numFmtId="0" fontId="2" fillId="0" borderId="35" xfId="0" applyFont="1" applyBorder="1" applyAlignment="1">
      <alignment horizontal="center" wrapText="1"/>
    </xf>
    <xf numFmtId="41" fontId="0" fillId="0" borderId="45" xfId="3" applyFont="1" applyBorder="1" applyAlignment="1">
      <alignment wrapText="1"/>
    </xf>
    <xf numFmtId="41" fontId="0" fillId="0" borderId="30" xfId="3" applyFont="1" applyBorder="1" applyAlignment="1">
      <alignment wrapText="1"/>
    </xf>
    <xf numFmtId="41" fontId="0" fillId="0" borderId="42" xfId="0" applyNumberFormat="1" applyBorder="1"/>
    <xf numFmtId="0" fontId="2" fillId="0" borderId="32" xfId="0" applyFont="1" applyBorder="1" applyAlignment="1">
      <alignment wrapText="1"/>
    </xf>
    <xf numFmtId="0" fontId="2" fillId="0" borderId="31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2" fillId="0" borderId="34" xfId="0" applyFont="1" applyBorder="1" applyAlignment="1">
      <alignment horizontal="center" wrapText="1"/>
    </xf>
    <xf numFmtId="9" fontId="0" fillId="0" borderId="39" xfId="0" applyNumberFormat="1" applyBorder="1" applyAlignment="1">
      <alignment horizontal="center"/>
    </xf>
    <xf numFmtId="9" fontId="0" fillId="0" borderId="41" xfId="0" applyNumberFormat="1" applyBorder="1" applyAlignment="1">
      <alignment horizontal="center"/>
    </xf>
    <xf numFmtId="9" fontId="0" fillId="0" borderId="44" xfId="0" applyNumberFormat="1" applyBorder="1" applyAlignment="1">
      <alignment horizontal="center"/>
    </xf>
    <xf numFmtId="164" fontId="2" fillId="0" borderId="0" xfId="1" applyFont="1" applyAlignment="1">
      <alignment horizontal="center"/>
    </xf>
    <xf numFmtId="165" fontId="2" fillId="0" borderId="0" xfId="1" applyNumberFormat="1" applyFont="1" applyAlignment="1">
      <alignment horizontal="center" wrapText="1"/>
    </xf>
    <xf numFmtId="10" fontId="2" fillId="0" borderId="0" xfId="1" applyNumberFormat="1" applyFont="1"/>
    <xf numFmtId="9" fontId="2" fillId="6" borderId="0" xfId="2" applyFont="1" applyFill="1"/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164" fontId="0" fillId="0" borderId="0" xfId="1" applyFont="1" applyAlignment="1">
      <alignment horizontal="center" wrapText="1"/>
    </xf>
    <xf numFmtId="164" fontId="0" fillId="0" borderId="20" xfId="1" applyFont="1" applyBorder="1" applyAlignment="1">
      <alignment horizontal="center" wrapText="1"/>
    </xf>
    <xf numFmtId="164" fontId="0" fillId="0" borderId="21" xfId="1" applyFont="1" applyBorder="1" applyAlignment="1">
      <alignment horizontal="center" wrapText="1"/>
    </xf>
  </cellXfs>
  <cellStyles count="10">
    <cellStyle name="Fecha" xfId="5" xr:uid="{00000000-0005-0000-0000-000000000000}"/>
    <cellStyle name="Importe" xfId="8" xr:uid="{00000000-0005-0000-0000-000001000000}"/>
    <cellStyle name="Importe de la tabla" xfId="4" xr:uid="{00000000-0005-0000-0000-000002000000}"/>
    <cellStyle name="Millares" xfId="1" builtinId="3"/>
    <cellStyle name="Millares [0]" xfId="3" builtinId="6"/>
    <cellStyle name="Normal" xfId="0" builtinId="0"/>
    <cellStyle name="Número" xfId="6" xr:uid="{00000000-0005-0000-0000-000006000000}"/>
    <cellStyle name="Porcentaje" xfId="2" builtinId="5"/>
    <cellStyle name="Resumen del préstamo" xfId="9" xr:uid="{00000000-0005-0000-0000-000008000000}"/>
    <cellStyle name="Título 4 alineado a la derecha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PUNTO</a:t>
            </a:r>
            <a:r>
              <a:rPr lang="es-CO" baseline="0"/>
              <a:t> DE EQUILIBRIO</a:t>
            </a:r>
            <a:endParaRPr lang="es-CO"/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UNIDADES</c:v>
          </c:tx>
          <c:val>
            <c:numRef>
              <c:f>EQUILIBRIO!$B$13:$E$13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1898.6570314157234</c:v>
                </c:pt>
                <c:pt idx="2">
                  <c:v>3797.3140628314468</c:v>
                </c:pt>
                <c:pt idx="3">
                  <c:v>5695.9710942471702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B-4C72-A85D-F90349C4FC6A}"/>
            </c:ext>
          </c:extLst>
        </c:ser>
        <c:ser>
          <c:idx val="1"/>
          <c:order val="1"/>
          <c:tx>
            <c:v>VENTAS</c:v>
          </c:tx>
          <c:val>
            <c:numRef>
              <c:f>EQUILIBRIO!$B$14:$E$14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37973140.628314458</c:v>
                </c:pt>
                <c:pt idx="2">
                  <c:v>75946281.256628916</c:v>
                </c:pt>
                <c:pt idx="3">
                  <c:v>113919421.88494338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B-4C72-A85D-F90349C4FC6A}"/>
            </c:ext>
          </c:extLst>
        </c:ser>
        <c:ser>
          <c:idx val="2"/>
          <c:order val="2"/>
          <c:tx>
            <c:v>COSTO TOTAL</c:v>
          </c:tx>
          <c:val>
            <c:numRef>
              <c:f>EQUILIBRIO!$B$15:$E$15</c:f>
              <c:numCache>
                <c:formatCode>_(* #,##0_);_(* \(#,##0\);_(* "-"??_);_(@_)</c:formatCode>
                <c:ptCount val="4"/>
                <c:pt idx="0">
                  <c:v>60377293.599019989</c:v>
                </c:pt>
                <c:pt idx="1">
                  <c:v>68161787.427824453</c:v>
                </c:pt>
                <c:pt idx="2">
                  <c:v>75946281.256628916</c:v>
                </c:pt>
                <c:pt idx="3">
                  <c:v>83730775.085433394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6B-4C72-A85D-F90349C4FC6A}"/>
            </c:ext>
          </c:extLst>
        </c:ser>
        <c:ser>
          <c:idx val="3"/>
          <c:order val="3"/>
          <c:tx>
            <c:v>COSTO FIJO</c:v>
          </c:tx>
          <c:val>
            <c:numRef>
              <c:f>EQUILIBRIO!$B$16:$E$16</c:f>
              <c:numCache>
                <c:formatCode>_(* #,##0_);_(* \(#,##0\);_(* "-"??_);_(@_)</c:formatCode>
                <c:ptCount val="4"/>
                <c:pt idx="0">
                  <c:v>60377293.599019989</c:v>
                </c:pt>
                <c:pt idx="1">
                  <c:v>60377293.599019989</c:v>
                </c:pt>
                <c:pt idx="2">
                  <c:v>60377293.599019989</c:v>
                </c:pt>
                <c:pt idx="3">
                  <c:v>60377293.599019989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6B-4C72-A85D-F90349C4F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834496"/>
        <c:axId val="225834104"/>
      </c:lineChart>
      <c:catAx>
        <c:axId val="225834496"/>
        <c:scaling>
          <c:orientation val="minMax"/>
        </c:scaling>
        <c:delete val="0"/>
        <c:axPos val="b"/>
        <c:majorTickMark val="none"/>
        <c:minorTickMark val="none"/>
        <c:tickLblPos val="nextTo"/>
        <c:crossAx val="225834104"/>
        <c:crosses val="autoZero"/>
        <c:auto val="1"/>
        <c:lblAlgn val="ctr"/>
        <c:lblOffset val="100"/>
        <c:noMultiLvlLbl val="0"/>
      </c:catAx>
      <c:valAx>
        <c:axId val="225834104"/>
        <c:scaling>
          <c:orientation val="minMax"/>
        </c:scaling>
        <c:delete val="0"/>
        <c:axPos val="l"/>
        <c:majorGridlines/>
        <c:title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2258344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685800</xdr:colOff>
      <xdr:row>5</xdr:row>
      <xdr:rowOff>23812</xdr:rowOff>
    </xdr:from>
    <xdr:to>
      <xdr:col>11</xdr:col>
      <xdr:colOff>685800</xdr:colOff>
      <xdr:row>19</xdr:row>
      <xdr:rowOff>100012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Programaci&#243;n%20de%20la%20amortizaci&#243;n%20del%20pr&#233;stamo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ación del préstamo"/>
      <sheetName val="Programación de la amortización"/>
    </sheetNames>
    <sheetDataSet>
      <sheetData sheetId="0">
        <row r="3">
          <cell r="E3">
            <v>10000000</v>
          </cell>
          <cell r="I3">
            <v>341776.29758025619</v>
          </cell>
        </row>
        <row r="4">
          <cell r="E4">
            <v>0.14000000000000001</v>
          </cell>
          <cell r="I4">
            <v>36</v>
          </cell>
        </row>
        <row r="5">
          <cell r="E5">
            <v>3</v>
          </cell>
        </row>
        <row r="6">
          <cell r="E6">
            <v>12</v>
          </cell>
        </row>
        <row r="7">
          <cell r="E7">
            <v>43466</v>
          </cell>
        </row>
        <row r="9">
          <cell r="E9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16"/>
  <sheetViews>
    <sheetView tabSelected="1" workbookViewId="0">
      <selection activeCell="F14" sqref="F14"/>
    </sheetView>
  </sheetViews>
  <sheetFormatPr baseColWidth="10" defaultRowHeight="15" x14ac:dyDescent="0.25"/>
  <cols>
    <col min="3" max="3" width="12.140625" bestFit="1" customWidth="1"/>
    <col min="4" max="4" width="11.5703125" bestFit="1" customWidth="1"/>
    <col min="5" max="5" width="11.7109375" bestFit="1" customWidth="1"/>
    <col min="6" max="8" width="12" bestFit="1" customWidth="1"/>
    <col min="9" max="9" width="12.5703125" bestFit="1" customWidth="1"/>
  </cols>
  <sheetData>
    <row r="3" spans="3:9" ht="15.75" thickBot="1" x14ac:dyDescent="0.3"/>
    <row r="4" spans="3:9" ht="15.75" thickBot="1" x14ac:dyDescent="0.3">
      <c r="C4" s="141" t="s">
        <v>218</v>
      </c>
      <c r="D4" s="142"/>
      <c r="E4" s="142"/>
      <c r="F4" s="142"/>
      <c r="G4" s="142"/>
      <c r="H4" s="142"/>
      <c r="I4" s="143"/>
    </row>
    <row r="5" spans="3:9" ht="24.75" customHeight="1" thickBot="1" x14ac:dyDescent="0.3">
      <c r="C5" s="130" t="s">
        <v>217</v>
      </c>
      <c r="D5" s="131" t="s">
        <v>33</v>
      </c>
      <c r="E5" s="132" t="s">
        <v>34</v>
      </c>
      <c r="F5" s="131" t="s">
        <v>35</v>
      </c>
      <c r="G5" s="132" t="s">
        <v>36</v>
      </c>
      <c r="H5" s="131" t="s">
        <v>37</v>
      </c>
      <c r="I5" s="133" t="s">
        <v>31</v>
      </c>
    </row>
    <row r="6" spans="3:9" x14ac:dyDescent="0.25">
      <c r="C6" s="126" t="s">
        <v>210</v>
      </c>
      <c r="D6" s="127">
        <f>VENTAS!C25</f>
        <v>90828989.193851501</v>
      </c>
      <c r="E6" s="128">
        <f>VENTAS!D25</f>
        <v>96278728.545482606</v>
      </c>
      <c r="F6" s="127">
        <f>VENTAS!E25</f>
        <v>102055452.25821157</v>
      </c>
      <c r="G6" s="128">
        <f>VENTAS!F25</f>
        <v>108178779.39370427</v>
      </c>
      <c r="H6" s="127">
        <f>VENTAS!G25</f>
        <v>114669506.15732652</v>
      </c>
      <c r="I6" s="129">
        <f>SUM(D6:H6)</f>
        <v>512011455.54857641</v>
      </c>
    </row>
    <row r="7" spans="3:9" ht="30" x14ac:dyDescent="0.25">
      <c r="C7" s="114" t="s">
        <v>211</v>
      </c>
      <c r="D7" s="117">
        <f>RESULTADO!B6</f>
        <v>72209046.409111947</v>
      </c>
      <c r="E7" s="120">
        <f>RESULTADO!C6</f>
        <v>76541589.19365868</v>
      </c>
      <c r="F7" s="117">
        <f>RESULTADO!D6</f>
        <v>81134084.545278192</v>
      </c>
      <c r="G7" s="120">
        <f>RESULTADO!E6</f>
        <v>86002129.61799489</v>
      </c>
      <c r="H7" s="117">
        <f>RESULTADO!F6</f>
        <v>91162257.395074576</v>
      </c>
      <c r="I7" s="123">
        <f>SUM(D7:H7)</f>
        <v>407049107.16111827</v>
      </c>
    </row>
    <row r="8" spans="3:9" x14ac:dyDescent="0.25">
      <c r="C8" s="115" t="s">
        <v>216</v>
      </c>
      <c r="D8" s="118">
        <f>D7/D6</f>
        <v>0.79500000000000004</v>
      </c>
      <c r="E8" s="121">
        <f t="shared" ref="E8:I8" si="0">E7/E6</f>
        <v>0.79500000000000004</v>
      </c>
      <c r="F8" s="118">
        <f t="shared" si="0"/>
        <v>0.79499999999999993</v>
      </c>
      <c r="G8" s="121">
        <f t="shared" si="0"/>
        <v>0.79500000000000004</v>
      </c>
      <c r="H8" s="118">
        <f t="shared" si="0"/>
        <v>0.79499999999999993</v>
      </c>
      <c r="I8" s="124">
        <f t="shared" si="0"/>
        <v>0.79500000000000004</v>
      </c>
    </row>
    <row r="9" spans="3:9" ht="45" x14ac:dyDescent="0.25">
      <c r="C9" s="114" t="s">
        <v>212</v>
      </c>
      <c r="D9" s="119">
        <f>RESULTADO!B27</f>
        <v>10112662.961479545</v>
      </c>
      <c r="E9" s="122">
        <f>RESULTADO!C27</f>
        <v>11018494.110191159</v>
      </c>
      <c r="F9" s="119">
        <f>RESULTADO!D27</f>
        <v>11994642.196892357</v>
      </c>
      <c r="G9" s="122">
        <f>RESULTADO!E27</f>
        <v>12793524.862747945</v>
      </c>
      <c r="H9" s="119">
        <f>RESULTADO!F27</f>
        <v>13328166.899087287</v>
      </c>
      <c r="I9" s="125">
        <f>SUM(D9:H9)</f>
        <v>59247491.030398294</v>
      </c>
    </row>
    <row r="10" spans="3:9" ht="15.75" thickBot="1" x14ac:dyDescent="0.3">
      <c r="C10" s="116" t="s">
        <v>216</v>
      </c>
      <c r="D10" s="134">
        <f>D9/D6</f>
        <v>0.11133739405484987</v>
      </c>
      <c r="E10" s="135">
        <f t="shared" ref="E10:I10" si="1">E9/E6</f>
        <v>0.11444370191268118</v>
      </c>
      <c r="F10" s="134">
        <f t="shared" si="1"/>
        <v>0.11753063586004779</v>
      </c>
      <c r="G10" s="135">
        <f t="shared" si="1"/>
        <v>0.11826279548031669</v>
      </c>
      <c r="H10" s="134">
        <f t="shared" si="1"/>
        <v>0.11623113542323142</v>
      </c>
      <c r="I10" s="136">
        <f t="shared" si="1"/>
        <v>0.11571516689391194</v>
      </c>
    </row>
    <row r="11" spans="3:9" x14ac:dyDescent="0.25">
      <c r="C11" s="2"/>
    </row>
    <row r="12" spans="3:9" x14ac:dyDescent="0.25">
      <c r="C12" s="2"/>
    </row>
    <row r="13" spans="3:9" x14ac:dyDescent="0.25">
      <c r="C13" s="2"/>
    </row>
    <row r="14" spans="3:9" x14ac:dyDescent="0.25">
      <c r="C14" s="2"/>
    </row>
    <row r="15" spans="3:9" x14ac:dyDescent="0.25">
      <c r="C15" s="2"/>
    </row>
    <row r="16" spans="3:9" x14ac:dyDescent="0.25">
      <c r="C16" s="2"/>
    </row>
  </sheetData>
  <mergeCells count="1">
    <mergeCell ref="C4:I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4:K9"/>
  <sheetViews>
    <sheetView workbookViewId="0">
      <selection activeCell="E8" sqref="E8"/>
    </sheetView>
  </sheetViews>
  <sheetFormatPr baseColWidth="10" defaultRowHeight="15" x14ac:dyDescent="0.25"/>
  <cols>
    <col min="1" max="2" width="11.42578125" style="3"/>
    <col min="3" max="3" width="11.5703125" style="3" customWidth="1"/>
    <col min="4" max="4" width="38.85546875" style="3" bestFit="1" customWidth="1"/>
    <col min="5" max="5" width="14.140625" style="3" bestFit="1" customWidth="1"/>
    <col min="6" max="10" width="11.42578125" style="3"/>
    <col min="11" max="11" width="13.140625" style="3" bestFit="1" customWidth="1"/>
    <col min="12" max="16384" width="11.42578125" style="3"/>
  </cols>
  <sheetData>
    <row r="4" spans="3:11" x14ac:dyDescent="0.25">
      <c r="H4" s="4" t="s">
        <v>0</v>
      </c>
    </row>
    <row r="6" spans="3:11" ht="15.75" customHeight="1" thickBot="1" x14ac:dyDescent="0.3"/>
    <row r="7" spans="3:11" ht="28.5" customHeight="1" thickBot="1" x14ac:dyDescent="0.3">
      <c r="C7" s="72" t="s">
        <v>1</v>
      </c>
      <c r="D7" s="11" t="s">
        <v>94</v>
      </c>
      <c r="E7" s="73" t="s">
        <v>95</v>
      </c>
      <c r="F7" s="74" t="s">
        <v>96</v>
      </c>
      <c r="H7" s="8" t="s">
        <v>98</v>
      </c>
      <c r="I7" s="8"/>
      <c r="J7" s="8" t="s">
        <v>99</v>
      </c>
      <c r="K7" s="29">
        <f>E8/F8</f>
        <v>1500000</v>
      </c>
    </row>
    <row r="8" spans="3:11" x14ac:dyDescent="0.25">
      <c r="C8" s="16">
        <v>1</v>
      </c>
      <c r="D8" s="9" t="s">
        <v>97</v>
      </c>
      <c r="E8" s="91">
        <v>15000000</v>
      </c>
      <c r="F8" s="16">
        <v>10</v>
      </c>
      <c r="H8" s="145"/>
      <c r="I8" s="146"/>
      <c r="J8" s="8" t="s">
        <v>100</v>
      </c>
      <c r="K8" s="29">
        <f>K7/12</f>
        <v>125000</v>
      </c>
    </row>
    <row r="9" spans="3:11" x14ac:dyDescent="0.25">
      <c r="C9" s="8"/>
      <c r="D9" s="32" t="s">
        <v>101</v>
      </c>
      <c r="E9" s="33">
        <f>E8</f>
        <v>15000000</v>
      </c>
      <c r="F9" s="8"/>
    </row>
  </sheetData>
  <mergeCells count="1">
    <mergeCell ref="H8:I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O47"/>
  <sheetViews>
    <sheetView workbookViewId="0">
      <selection activeCell="K21" sqref="K21"/>
    </sheetView>
  </sheetViews>
  <sheetFormatPr baseColWidth="10" defaultRowHeight="15" x14ac:dyDescent="0.25"/>
  <cols>
    <col min="4" max="4" width="11.42578125" style="50"/>
    <col min="5" max="5" width="19.85546875" style="50" bestFit="1" customWidth="1"/>
    <col min="6" max="6" width="19.85546875" style="50" customWidth="1"/>
    <col min="7" max="7" width="14.140625" style="50" bestFit="1" customWidth="1"/>
    <col min="8" max="8" width="21.42578125" style="50" bestFit="1" customWidth="1"/>
    <col min="9" max="9" width="11.42578125" style="50"/>
    <col min="11" max="11" width="13.140625" bestFit="1" customWidth="1"/>
    <col min="15" max="15" width="14.140625" bestFit="1" customWidth="1"/>
  </cols>
  <sheetData>
    <row r="2" spans="2:15" x14ac:dyDescent="0.25">
      <c r="H2" s="51" t="s">
        <v>0</v>
      </c>
    </row>
    <row r="3" spans="2:15" ht="15.75" thickBot="1" x14ac:dyDescent="0.3"/>
    <row r="4" spans="2:15" x14ac:dyDescent="0.25">
      <c r="B4" s="75" t="s">
        <v>95</v>
      </c>
      <c r="C4" s="77">
        <v>15000000</v>
      </c>
      <c r="D4" s="50" t="s">
        <v>116</v>
      </c>
      <c r="E4" s="77" t="s">
        <v>103</v>
      </c>
      <c r="F4" s="77"/>
      <c r="G4" s="80">
        <v>0.14000000000000001</v>
      </c>
      <c r="H4" s="78" t="s">
        <v>105</v>
      </c>
    </row>
    <row r="5" spans="2:15" ht="15.75" thickBot="1" x14ac:dyDescent="0.3">
      <c r="B5" s="76" t="s">
        <v>102</v>
      </c>
      <c r="C5" s="36">
        <v>36</v>
      </c>
      <c r="D5" s="50" t="s">
        <v>100</v>
      </c>
      <c r="E5" s="36" t="s">
        <v>104</v>
      </c>
      <c r="F5" s="36"/>
      <c r="G5" s="81">
        <f>+POWER((1+G4),(1/12))-1</f>
        <v>1.0978851950173452E-2</v>
      </c>
      <c r="H5" s="79" t="s">
        <v>106</v>
      </c>
      <c r="I5"/>
    </row>
    <row r="6" spans="2:15" x14ac:dyDescent="0.25">
      <c r="C6" s="50"/>
      <c r="D6" s="51" t="s">
        <v>113</v>
      </c>
      <c r="E6" s="51"/>
      <c r="G6" s="50">
        <v>0</v>
      </c>
      <c r="H6" s="51" t="s">
        <v>114</v>
      </c>
      <c r="I6"/>
    </row>
    <row r="7" spans="2:15" ht="15.75" thickBot="1" x14ac:dyDescent="0.3">
      <c r="C7" s="50"/>
      <c r="I7"/>
    </row>
    <row r="8" spans="2:15" ht="45" x14ac:dyDescent="0.25">
      <c r="B8" s="82" t="s">
        <v>102</v>
      </c>
      <c r="C8" s="83" t="s">
        <v>107</v>
      </c>
      <c r="D8" s="83" t="s">
        <v>108</v>
      </c>
      <c r="E8" s="83" t="s">
        <v>115</v>
      </c>
      <c r="F8" s="83" t="s">
        <v>109</v>
      </c>
      <c r="G8" s="83" t="s">
        <v>110</v>
      </c>
      <c r="H8" s="84" t="s">
        <v>111</v>
      </c>
      <c r="I8"/>
    </row>
    <row r="9" spans="2:15" x14ac:dyDescent="0.25">
      <c r="B9" s="25" t="s">
        <v>112</v>
      </c>
      <c r="C9" s="29"/>
      <c r="D9" s="29"/>
      <c r="E9" s="29"/>
      <c r="F9" s="29">
        <f>C4</f>
        <v>15000000</v>
      </c>
      <c r="G9" s="29"/>
      <c r="H9" s="29"/>
      <c r="I9" s="71"/>
    </row>
    <row r="10" spans="2:15" x14ac:dyDescent="0.25">
      <c r="B10" s="25">
        <v>1</v>
      </c>
      <c r="C10" s="29">
        <f t="shared" ref="C10:C45" si="0">IF(($G$6-B10)&gt;=0,0,E10-D10)</f>
        <v>341989.05863763881</v>
      </c>
      <c r="D10" s="8">
        <f t="shared" ref="D10:D45" si="1">$G$5*F9</f>
        <v>164682.77925260179</v>
      </c>
      <c r="E10" s="8">
        <f>IF(($C$5-B10)&lt;0,0,IF(($G$6-B10)&gt;=0,D10,$F$9*(1+$G$5)^($C$5-$G$6)*($G$5)/((1+$G$5)^($C$5-$G$6)-1)))</f>
        <v>506671.8378902406</v>
      </c>
      <c r="F10" s="29">
        <f>IF((F9-C10)&lt;&gt;0.001,F9-C10,0)</f>
        <v>14658010.94136236</v>
      </c>
      <c r="G10" s="29">
        <v>0</v>
      </c>
      <c r="H10" s="8">
        <f>E10+G10</f>
        <v>506671.8378902406</v>
      </c>
      <c r="I10"/>
      <c r="J10" t="s">
        <v>131</v>
      </c>
      <c r="K10" t="s">
        <v>171</v>
      </c>
      <c r="L10" t="s">
        <v>172</v>
      </c>
      <c r="M10" t="s">
        <v>173</v>
      </c>
      <c r="N10" t="s">
        <v>174</v>
      </c>
      <c r="O10" t="s">
        <v>175</v>
      </c>
    </row>
    <row r="11" spans="2:15" x14ac:dyDescent="0.25">
      <c r="B11" s="25">
        <v>2</v>
      </c>
      <c r="C11" s="29">
        <f t="shared" si="0"/>
        <v>345743.70588100061</v>
      </c>
      <c r="D11" s="8">
        <f t="shared" si="1"/>
        <v>160928.13200923995</v>
      </c>
      <c r="E11" s="8">
        <f t="shared" ref="E11:E45" si="2">IF(($C$5-B11)&lt;0,0,IF(($G$6-B11)&gt;=0,D11,$F$9*(1+$G$5)^($C$5-$G$6)*($G$5)/((1+$G$5)^($C$5-$G$6)-1)))</f>
        <v>506671.8378902406</v>
      </c>
      <c r="F11" s="29">
        <f t="shared" ref="F11:F45" si="3">IF((F10-C11)&lt;&gt;0.001,F10-C11,0)</f>
        <v>14312267.235481359</v>
      </c>
      <c r="G11" s="29">
        <v>0</v>
      </c>
      <c r="H11" s="8">
        <f t="shared" ref="H11:H45" si="4">E11+G11</f>
        <v>506671.8378902406</v>
      </c>
      <c r="I11"/>
      <c r="K11" s="95">
        <f>SUM(D10:D21)</f>
        <v>1719089.8486124135</v>
      </c>
      <c r="L11" s="94">
        <f>SUM(D22:D33)</f>
        <v>1108553.7397625523</v>
      </c>
      <c r="M11" s="94">
        <f>SUM(D34:D45)</f>
        <v>412542.57567371114</v>
      </c>
      <c r="N11" s="94">
        <v>0</v>
      </c>
      <c r="O11" s="94">
        <v>0</v>
      </c>
    </row>
    <row r="12" spans="2:15" ht="17.25" customHeight="1" x14ac:dyDescent="0.25">
      <c r="B12" s="25">
        <v>3</v>
      </c>
      <c r="C12" s="29">
        <f t="shared" si="0"/>
        <v>349539.57484057249</v>
      </c>
      <c r="D12" s="8">
        <f t="shared" si="1"/>
        <v>157132.26304966811</v>
      </c>
      <c r="E12" s="8">
        <f t="shared" si="2"/>
        <v>506671.8378902406</v>
      </c>
      <c r="F12" s="29">
        <f t="shared" si="3"/>
        <v>13962727.660640787</v>
      </c>
      <c r="G12" s="29">
        <v>0</v>
      </c>
      <c r="H12" s="8">
        <f t="shared" si="4"/>
        <v>506671.8378902406</v>
      </c>
      <c r="I12"/>
    </row>
    <row r="13" spans="2:15" x14ac:dyDescent="0.25">
      <c r="B13" s="25">
        <v>4</v>
      </c>
      <c r="C13" s="29">
        <f t="shared" si="0"/>
        <v>353377.1180834737</v>
      </c>
      <c r="D13" s="8">
        <f t="shared" si="1"/>
        <v>153294.71980676689</v>
      </c>
      <c r="E13" s="8">
        <f t="shared" si="2"/>
        <v>506671.8378902406</v>
      </c>
      <c r="F13" s="29">
        <f t="shared" si="3"/>
        <v>13609350.542557314</v>
      </c>
      <c r="G13" s="29">
        <v>0</v>
      </c>
      <c r="H13" s="8">
        <f t="shared" si="4"/>
        <v>506671.8378902406</v>
      </c>
      <c r="I13"/>
    </row>
    <row r="14" spans="2:15" x14ac:dyDescent="0.25">
      <c r="B14" s="25">
        <v>5</v>
      </c>
      <c r="C14" s="29">
        <f t="shared" si="0"/>
        <v>357256.7931454911</v>
      </c>
      <c r="D14" s="8">
        <f t="shared" si="1"/>
        <v>149415.0447447495</v>
      </c>
      <c r="E14" s="8">
        <f t="shared" si="2"/>
        <v>506671.8378902406</v>
      </c>
      <c r="F14" s="29">
        <f t="shared" si="3"/>
        <v>13252093.749411823</v>
      </c>
      <c r="G14" s="29">
        <v>0</v>
      </c>
      <c r="H14" s="8">
        <f t="shared" si="4"/>
        <v>506671.8378902406</v>
      </c>
      <c r="I14"/>
    </row>
    <row r="15" spans="2:15" x14ac:dyDescent="0.25">
      <c r="B15" s="25">
        <v>6</v>
      </c>
      <c r="C15" s="29">
        <f t="shared" si="0"/>
        <v>361179.06258562917</v>
      </c>
      <c r="D15" s="8">
        <f t="shared" si="1"/>
        <v>145492.77530461139</v>
      </c>
      <c r="E15" s="8">
        <f t="shared" si="2"/>
        <v>506671.8378902406</v>
      </c>
      <c r="F15" s="29">
        <f t="shared" si="3"/>
        <v>12890914.686826194</v>
      </c>
      <c r="G15" s="29">
        <v>0</v>
      </c>
      <c r="H15" s="8">
        <f t="shared" si="4"/>
        <v>506671.8378902406</v>
      </c>
      <c r="I15"/>
    </row>
    <row r="16" spans="2:15" x14ac:dyDescent="0.25">
      <c r="B16" s="25">
        <v>7</v>
      </c>
      <c r="C16" s="29">
        <f t="shared" si="0"/>
        <v>365144.39404125925</v>
      </c>
      <c r="D16" s="8">
        <f t="shared" si="1"/>
        <v>141527.44384898135</v>
      </c>
      <c r="E16" s="8">
        <f t="shared" si="2"/>
        <v>506671.8378902406</v>
      </c>
      <c r="F16" s="29">
        <f t="shared" si="3"/>
        <v>12525770.292784935</v>
      </c>
      <c r="G16" s="29">
        <v>0</v>
      </c>
      <c r="H16" s="8">
        <f t="shared" si="4"/>
        <v>506671.8378902406</v>
      </c>
      <c r="I16"/>
    </row>
    <row r="17" spans="2:11" x14ac:dyDescent="0.25">
      <c r="B17" s="25">
        <v>8</v>
      </c>
      <c r="C17" s="29">
        <f t="shared" si="0"/>
        <v>369153.260283874</v>
      </c>
      <c r="D17" s="8">
        <f t="shared" si="1"/>
        <v>137518.57760636657</v>
      </c>
      <c r="E17" s="8">
        <f t="shared" si="2"/>
        <v>506671.8378902406</v>
      </c>
      <c r="F17" s="29">
        <f t="shared" si="3"/>
        <v>12156617.032501061</v>
      </c>
      <c r="G17" s="29">
        <v>0</v>
      </c>
      <c r="H17" s="8">
        <f t="shared" si="4"/>
        <v>506671.8378902406</v>
      </c>
      <c r="I17"/>
    </row>
    <row r="18" spans="2:11" x14ac:dyDescent="0.25">
      <c r="B18" s="25">
        <v>9</v>
      </c>
      <c r="C18" s="29">
        <f t="shared" si="0"/>
        <v>373206.13927545457</v>
      </c>
      <c r="D18" s="8">
        <f t="shared" si="1"/>
        <v>133465.69861478606</v>
      </c>
      <c r="E18" s="8">
        <f t="shared" si="2"/>
        <v>506671.8378902406</v>
      </c>
      <c r="F18" s="29">
        <f t="shared" si="3"/>
        <v>11783410.893225607</v>
      </c>
      <c r="G18" s="29">
        <v>0</v>
      </c>
      <c r="H18" s="8">
        <f t="shared" si="4"/>
        <v>506671.8378902406</v>
      </c>
      <c r="I18"/>
    </row>
    <row r="19" spans="2:11" x14ac:dyDescent="0.25">
      <c r="B19" s="25">
        <v>10</v>
      </c>
      <c r="C19" s="29">
        <f t="shared" si="0"/>
        <v>377303.51422545558</v>
      </c>
      <c r="D19" s="8">
        <f t="shared" si="1"/>
        <v>129368.32366478504</v>
      </c>
      <c r="E19" s="8">
        <f t="shared" si="2"/>
        <v>506671.8378902406</v>
      </c>
      <c r="F19" s="29">
        <f t="shared" si="3"/>
        <v>11406107.379000152</v>
      </c>
      <c r="G19" s="29">
        <v>0</v>
      </c>
      <c r="H19" s="8">
        <f t="shared" si="4"/>
        <v>506671.8378902406</v>
      </c>
      <c r="I19"/>
    </row>
    <row r="20" spans="2:11" x14ac:dyDescent="0.25">
      <c r="B20" s="25">
        <v>11</v>
      </c>
      <c r="C20" s="29">
        <f t="shared" si="0"/>
        <v>381445.87364841701</v>
      </c>
      <c r="D20" s="8">
        <f t="shared" si="1"/>
        <v>125225.9642418236</v>
      </c>
      <c r="E20" s="8">
        <f t="shared" si="2"/>
        <v>506671.8378902406</v>
      </c>
      <c r="F20" s="29">
        <f t="shared" si="3"/>
        <v>11024661.505351735</v>
      </c>
      <c r="G20" s="29">
        <v>0</v>
      </c>
      <c r="H20" s="8">
        <f t="shared" si="4"/>
        <v>506671.8378902406</v>
      </c>
      <c r="I20"/>
    </row>
    <row r="21" spans="2:11" x14ac:dyDescent="0.25">
      <c r="B21" s="25">
        <v>12</v>
      </c>
      <c r="C21" s="29">
        <f t="shared" si="0"/>
        <v>385633.71142220753</v>
      </c>
      <c r="D21" s="8">
        <f t="shared" si="1"/>
        <v>121038.12646803308</v>
      </c>
      <c r="E21" s="8">
        <f t="shared" si="2"/>
        <v>506671.8378902406</v>
      </c>
      <c r="F21" s="29">
        <f t="shared" si="3"/>
        <v>10639027.793929528</v>
      </c>
      <c r="G21" s="29">
        <v>0</v>
      </c>
      <c r="H21" s="8">
        <f t="shared" si="4"/>
        <v>506671.8378902406</v>
      </c>
      <c r="I21"/>
    </row>
    <row r="22" spans="2:11" x14ac:dyDescent="0.25">
      <c r="B22" s="25">
        <v>13</v>
      </c>
      <c r="C22" s="29">
        <f t="shared" si="0"/>
        <v>389867.52684690786</v>
      </c>
      <c r="D22" s="8">
        <f t="shared" si="1"/>
        <v>116804.31104333275</v>
      </c>
      <c r="E22" s="8">
        <f t="shared" si="2"/>
        <v>506671.8378902406</v>
      </c>
      <c r="F22" s="29">
        <f t="shared" si="3"/>
        <v>10249160.26708262</v>
      </c>
      <c r="G22" s="29">
        <v>0</v>
      </c>
      <c r="H22" s="8">
        <f t="shared" si="4"/>
        <v>506671.8378902406</v>
      </c>
      <c r="I22"/>
      <c r="K22" s="93"/>
    </row>
    <row r="23" spans="2:11" x14ac:dyDescent="0.25">
      <c r="B23" s="25">
        <v>14</v>
      </c>
      <c r="C23" s="29">
        <f t="shared" si="0"/>
        <v>394147.82470434031</v>
      </c>
      <c r="D23" s="8">
        <f t="shared" si="1"/>
        <v>112524.01318590029</v>
      </c>
      <c r="E23" s="8">
        <f t="shared" si="2"/>
        <v>506671.8378902406</v>
      </c>
      <c r="F23" s="29">
        <f t="shared" si="3"/>
        <v>9855012.4423782807</v>
      </c>
      <c r="G23" s="29">
        <v>0</v>
      </c>
      <c r="H23" s="8">
        <f t="shared" si="4"/>
        <v>506671.8378902406</v>
      </c>
      <c r="I23"/>
    </row>
    <row r="24" spans="2:11" x14ac:dyDescent="0.25">
      <c r="B24" s="25">
        <v>15</v>
      </c>
      <c r="C24" s="29">
        <f t="shared" si="0"/>
        <v>398475.11531825218</v>
      </c>
      <c r="D24" s="8">
        <f t="shared" si="1"/>
        <v>108196.72257198842</v>
      </c>
      <c r="E24" s="8">
        <f t="shared" si="2"/>
        <v>506671.8378902406</v>
      </c>
      <c r="F24" s="29">
        <f t="shared" si="3"/>
        <v>9456537.3270600289</v>
      </c>
      <c r="G24" s="29">
        <v>0</v>
      </c>
      <c r="H24" s="8">
        <f t="shared" si="4"/>
        <v>506671.8378902406</v>
      </c>
      <c r="I24"/>
      <c r="K24" s="93"/>
    </row>
    <row r="25" spans="2:11" x14ac:dyDescent="0.25">
      <c r="B25" s="25">
        <v>16</v>
      </c>
      <c r="C25" s="29">
        <f t="shared" si="0"/>
        <v>402849.91461515956</v>
      </c>
      <c r="D25" s="8">
        <f t="shared" si="1"/>
        <v>103821.92327508103</v>
      </c>
      <c r="E25" s="8">
        <f t="shared" si="2"/>
        <v>506671.8378902406</v>
      </c>
      <c r="F25" s="29">
        <f t="shared" si="3"/>
        <v>9053687.4124448691</v>
      </c>
      <c r="G25" s="29">
        <v>0</v>
      </c>
      <c r="H25" s="8">
        <f t="shared" si="4"/>
        <v>506671.8378902406</v>
      </c>
      <c r="I25"/>
    </row>
    <row r="26" spans="2:11" x14ac:dyDescent="0.25">
      <c r="B26" s="25">
        <v>17</v>
      </c>
      <c r="C26" s="29">
        <f t="shared" si="0"/>
        <v>407272.7441858594</v>
      </c>
      <c r="D26" s="8">
        <f t="shared" si="1"/>
        <v>99399.093704381186</v>
      </c>
      <c r="E26" s="8">
        <f t="shared" si="2"/>
        <v>506671.8378902406</v>
      </c>
      <c r="F26" s="29">
        <f t="shared" si="3"/>
        <v>8646414.6682590097</v>
      </c>
      <c r="G26" s="29">
        <v>0</v>
      </c>
      <c r="H26" s="8">
        <f t="shared" si="4"/>
        <v>506671.8378902406</v>
      </c>
      <c r="I26"/>
    </row>
    <row r="27" spans="2:11" x14ac:dyDescent="0.25">
      <c r="B27" s="25">
        <v>18</v>
      </c>
      <c r="C27" s="29">
        <f t="shared" si="0"/>
        <v>411744.13134761684</v>
      </c>
      <c r="D27" s="8">
        <f t="shared" si="1"/>
        <v>94927.706542623768</v>
      </c>
      <c r="E27" s="8">
        <f t="shared" si="2"/>
        <v>506671.8378902406</v>
      </c>
      <c r="F27" s="29">
        <f t="shared" si="3"/>
        <v>8234670.5369113926</v>
      </c>
      <c r="G27" s="29">
        <v>0</v>
      </c>
      <c r="H27" s="8">
        <f t="shared" si="4"/>
        <v>506671.8378902406</v>
      </c>
      <c r="I27"/>
    </row>
    <row r="28" spans="2:11" x14ac:dyDescent="0.25">
      <c r="B28" s="25">
        <v>19</v>
      </c>
      <c r="C28" s="29">
        <f t="shared" si="0"/>
        <v>416264.6092070351</v>
      </c>
      <c r="D28" s="8">
        <f t="shared" si="1"/>
        <v>90407.228683205511</v>
      </c>
      <c r="E28" s="8">
        <f t="shared" si="2"/>
        <v>506671.8378902406</v>
      </c>
      <c r="F28" s="29">
        <f t="shared" si="3"/>
        <v>7818405.9277043575</v>
      </c>
      <c r="G28" s="29">
        <v>0</v>
      </c>
      <c r="H28" s="8">
        <f t="shared" si="4"/>
        <v>506671.8378902406</v>
      </c>
      <c r="I28"/>
    </row>
    <row r="29" spans="2:11" x14ac:dyDescent="0.25">
      <c r="B29" s="25">
        <v>20</v>
      </c>
      <c r="C29" s="29">
        <f t="shared" si="0"/>
        <v>420834.71672361594</v>
      </c>
      <c r="D29" s="8">
        <f t="shared" si="1"/>
        <v>85837.121166624653</v>
      </c>
      <c r="E29" s="8">
        <f t="shared" si="2"/>
        <v>506671.8378902406</v>
      </c>
      <c r="F29" s="29">
        <f t="shared" si="3"/>
        <v>7397571.2109807413</v>
      </c>
      <c r="G29" s="29">
        <v>0</v>
      </c>
      <c r="H29" s="8">
        <f t="shared" si="4"/>
        <v>506671.8378902406</v>
      </c>
      <c r="I29"/>
    </row>
    <row r="30" spans="2:11" x14ac:dyDescent="0.25">
      <c r="B30" s="25">
        <v>21</v>
      </c>
      <c r="C30" s="29">
        <f t="shared" si="0"/>
        <v>425454.99877401767</v>
      </c>
      <c r="D30" s="8">
        <f t="shared" si="1"/>
        <v>81216.839116222895</v>
      </c>
      <c r="E30" s="8">
        <f t="shared" si="2"/>
        <v>506671.8378902406</v>
      </c>
      <c r="F30" s="29">
        <f t="shared" si="3"/>
        <v>6972116.2122067232</v>
      </c>
      <c r="G30" s="29">
        <v>0</v>
      </c>
      <c r="H30" s="8">
        <f t="shared" si="4"/>
        <v>506671.8378902406</v>
      </c>
      <c r="I30"/>
    </row>
    <row r="31" spans="2:11" x14ac:dyDescent="0.25">
      <c r="B31" s="25">
        <v>22</v>
      </c>
      <c r="C31" s="29">
        <f t="shared" si="0"/>
        <v>430126.00621701888</v>
      </c>
      <c r="D31" s="8">
        <f t="shared" si="1"/>
        <v>76545.831673221721</v>
      </c>
      <c r="E31" s="8">
        <f t="shared" si="2"/>
        <v>506671.8378902406</v>
      </c>
      <c r="F31" s="29">
        <f t="shared" si="3"/>
        <v>6541990.2059897045</v>
      </c>
      <c r="G31" s="29">
        <v>0</v>
      </c>
      <c r="H31" s="8">
        <f t="shared" si="4"/>
        <v>506671.8378902406</v>
      </c>
      <c r="I31"/>
    </row>
    <row r="32" spans="2:11" x14ac:dyDescent="0.25">
      <c r="B32" s="25">
        <v>23</v>
      </c>
      <c r="C32" s="29">
        <f t="shared" si="0"/>
        <v>434848.29595919489</v>
      </c>
      <c r="D32" s="8">
        <f t="shared" si="1"/>
        <v>71823.541931045693</v>
      </c>
      <c r="E32" s="8">
        <f t="shared" si="2"/>
        <v>506671.8378902406</v>
      </c>
      <c r="F32" s="29">
        <f t="shared" si="3"/>
        <v>6107141.9100305093</v>
      </c>
      <c r="G32" s="29">
        <v>0</v>
      </c>
      <c r="H32" s="8">
        <f t="shared" si="4"/>
        <v>506671.8378902406</v>
      </c>
      <c r="I32"/>
    </row>
    <row r="33" spans="2:9" x14ac:dyDescent="0.25">
      <c r="B33" s="25">
        <v>24</v>
      </c>
      <c r="C33" s="29">
        <f t="shared" si="0"/>
        <v>439622.43102131609</v>
      </c>
      <c r="D33" s="8">
        <f t="shared" si="1"/>
        <v>67049.406868924474</v>
      </c>
      <c r="E33" s="8">
        <f t="shared" si="2"/>
        <v>506671.8378902406</v>
      </c>
      <c r="F33" s="29">
        <f t="shared" si="3"/>
        <v>5667519.4790091934</v>
      </c>
      <c r="G33" s="29">
        <v>0</v>
      </c>
      <c r="H33" s="8">
        <f t="shared" si="4"/>
        <v>506671.8378902406</v>
      </c>
      <c r="I33"/>
    </row>
    <row r="34" spans="2:9" x14ac:dyDescent="0.25">
      <c r="B34" s="25">
        <v>25</v>
      </c>
      <c r="C34" s="29">
        <f t="shared" si="0"/>
        <v>444448.9806054745</v>
      </c>
      <c r="D34" s="8">
        <f t="shared" si="1"/>
        <v>62222.857284766105</v>
      </c>
      <c r="E34" s="8">
        <f t="shared" si="2"/>
        <v>506671.8378902406</v>
      </c>
      <c r="F34" s="29">
        <f t="shared" si="3"/>
        <v>5223070.4984037187</v>
      </c>
      <c r="G34" s="29">
        <v>0</v>
      </c>
      <c r="H34" s="8">
        <f t="shared" si="4"/>
        <v>506671.8378902406</v>
      </c>
      <c r="I34"/>
    </row>
    <row r="35" spans="2:9" x14ac:dyDescent="0.25">
      <c r="B35" s="25">
        <v>26</v>
      </c>
      <c r="C35" s="29">
        <f t="shared" si="0"/>
        <v>449328.52016294748</v>
      </c>
      <c r="D35" s="8">
        <f t="shared" si="1"/>
        <v>57343.317727293092</v>
      </c>
      <c r="E35" s="8">
        <f t="shared" si="2"/>
        <v>506671.8378902406</v>
      </c>
      <c r="F35" s="29">
        <f t="shared" si="3"/>
        <v>4773741.9782407712</v>
      </c>
      <c r="G35" s="29">
        <v>0</v>
      </c>
      <c r="H35" s="8">
        <f t="shared" si="4"/>
        <v>506671.8378902406</v>
      </c>
      <c r="I35"/>
    </row>
    <row r="36" spans="2:9" x14ac:dyDescent="0.25">
      <c r="B36" s="25">
        <v>27</v>
      </c>
      <c r="C36" s="29">
        <f t="shared" si="0"/>
        <v>454261.63146280701</v>
      </c>
      <c r="D36" s="8">
        <f t="shared" si="1"/>
        <v>52410.206427433564</v>
      </c>
      <c r="E36" s="8">
        <f t="shared" si="2"/>
        <v>506671.8378902406</v>
      </c>
      <c r="F36" s="29">
        <f t="shared" si="3"/>
        <v>4319480.3467779644</v>
      </c>
      <c r="G36" s="29">
        <v>0</v>
      </c>
      <c r="H36" s="8">
        <f t="shared" si="4"/>
        <v>506671.8378902406</v>
      </c>
      <c r="I36"/>
    </row>
    <row r="37" spans="2:9" x14ac:dyDescent="0.25">
      <c r="B37" s="25">
        <v>28</v>
      </c>
      <c r="C37" s="29">
        <f t="shared" si="0"/>
        <v>459248.90266128146</v>
      </c>
      <c r="D37" s="8">
        <f t="shared" si="1"/>
        <v>47422.935228959148</v>
      </c>
      <c r="E37" s="8">
        <f t="shared" si="2"/>
        <v>506671.8378902406</v>
      </c>
      <c r="F37" s="29">
        <f t="shared" si="3"/>
        <v>3860231.4441166827</v>
      </c>
      <c r="G37" s="29">
        <v>0</v>
      </c>
      <c r="H37" s="8">
        <f t="shared" si="4"/>
        <v>506671.8378902406</v>
      </c>
      <c r="I37"/>
    </row>
    <row r="38" spans="2:9" x14ac:dyDescent="0.25">
      <c r="B38" s="25">
        <v>29</v>
      </c>
      <c r="C38" s="29">
        <f t="shared" si="0"/>
        <v>464290.92837187927</v>
      </c>
      <c r="D38" s="8">
        <f t="shared" si="1"/>
        <v>42380.909518361324</v>
      </c>
      <c r="E38" s="8">
        <f t="shared" si="2"/>
        <v>506671.8378902406</v>
      </c>
      <c r="F38" s="29">
        <f t="shared" si="3"/>
        <v>3395940.5157448035</v>
      </c>
      <c r="G38" s="29">
        <v>0</v>
      </c>
      <c r="H38" s="8">
        <f t="shared" si="4"/>
        <v>506671.8378902406</v>
      </c>
      <c r="I38"/>
    </row>
    <row r="39" spans="2:9" x14ac:dyDescent="0.25">
      <c r="B39" s="25">
        <v>30</v>
      </c>
      <c r="C39" s="29">
        <f t="shared" si="0"/>
        <v>469388.30973628274</v>
      </c>
      <c r="D39" s="8">
        <f t="shared" si="1"/>
        <v>37283.528153957872</v>
      </c>
      <c r="E39" s="8">
        <f t="shared" si="2"/>
        <v>506671.8378902406</v>
      </c>
      <c r="F39" s="29">
        <f t="shared" si="3"/>
        <v>2926552.2060085209</v>
      </c>
      <c r="G39" s="29">
        <v>0</v>
      </c>
      <c r="H39" s="8">
        <f t="shared" si="4"/>
        <v>506671.8378902406</v>
      </c>
      <c r="I39"/>
    </row>
    <row r="40" spans="2:9" x14ac:dyDescent="0.25">
      <c r="B40" s="25">
        <v>31</v>
      </c>
      <c r="C40" s="29">
        <f t="shared" si="0"/>
        <v>474541.65449601953</v>
      </c>
      <c r="D40" s="8">
        <f t="shared" si="1"/>
        <v>32130.183394221065</v>
      </c>
      <c r="E40" s="8">
        <f t="shared" si="2"/>
        <v>506671.8378902406</v>
      </c>
      <c r="F40" s="29">
        <f t="shared" si="3"/>
        <v>2452010.5515125012</v>
      </c>
      <c r="G40" s="29">
        <v>0</v>
      </c>
      <c r="H40" s="8">
        <f t="shared" si="4"/>
        <v>506671.8378902406</v>
      </c>
      <c r="I40"/>
    </row>
    <row r="41" spans="2:9" x14ac:dyDescent="0.25">
      <c r="B41" s="25">
        <v>32</v>
      </c>
      <c r="C41" s="29">
        <f t="shared" si="0"/>
        <v>479751.57706492167</v>
      </c>
      <c r="D41" s="8">
        <f t="shared" si="1"/>
        <v>26920.260825318903</v>
      </c>
      <c r="E41" s="8">
        <f t="shared" si="2"/>
        <v>506671.8378902406</v>
      </c>
      <c r="F41" s="29">
        <f t="shared" si="3"/>
        <v>1972258.9744475796</v>
      </c>
      <c r="G41" s="29">
        <v>0</v>
      </c>
      <c r="H41" s="8">
        <f t="shared" si="4"/>
        <v>506671.8378902406</v>
      </c>
      <c r="I41"/>
    </row>
    <row r="42" spans="2:9" x14ac:dyDescent="0.25">
      <c r="B42" s="25">
        <v>33</v>
      </c>
      <c r="C42" s="29">
        <f t="shared" si="0"/>
        <v>485018.69860237971</v>
      </c>
      <c r="D42" s="8">
        <f t="shared" si="1"/>
        <v>21653.1392878609</v>
      </c>
      <c r="E42" s="8">
        <f t="shared" si="2"/>
        <v>506671.8378902406</v>
      </c>
      <c r="F42" s="29">
        <f t="shared" si="3"/>
        <v>1487240.2758451998</v>
      </c>
      <c r="G42" s="29">
        <v>0</v>
      </c>
      <c r="H42" s="8">
        <f t="shared" si="4"/>
        <v>506671.8378902406</v>
      </c>
      <c r="I42"/>
    </row>
    <row r="43" spans="2:9" x14ac:dyDescent="0.25">
      <c r="B43" s="25">
        <v>34</v>
      </c>
      <c r="C43" s="29">
        <f t="shared" si="0"/>
        <v>490343.64708740101</v>
      </c>
      <c r="D43" s="8">
        <f t="shared" si="1"/>
        <v>16328.190802839574</v>
      </c>
      <c r="E43" s="8">
        <f t="shared" si="2"/>
        <v>506671.8378902406</v>
      </c>
      <c r="F43" s="29">
        <f t="shared" si="3"/>
        <v>996896.62875779881</v>
      </c>
      <c r="G43" s="29">
        <v>0</v>
      </c>
      <c r="H43" s="8">
        <f t="shared" si="4"/>
        <v>506671.8378902406</v>
      </c>
      <c r="I43"/>
    </row>
    <row r="44" spans="2:9" x14ac:dyDescent="0.25">
      <c r="B44" s="25">
        <v>35</v>
      </c>
      <c r="C44" s="29">
        <f t="shared" si="0"/>
        <v>495727.05739348172</v>
      </c>
      <c r="D44" s="8">
        <f t="shared" si="1"/>
        <v>10944.780496758898</v>
      </c>
      <c r="E44" s="8">
        <f t="shared" si="2"/>
        <v>506671.8378902406</v>
      </c>
      <c r="F44" s="29">
        <f t="shared" si="3"/>
        <v>501169.57136431709</v>
      </c>
      <c r="G44" s="29">
        <v>0</v>
      </c>
      <c r="H44" s="8">
        <f t="shared" si="4"/>
        <v>506671.8378902406</v>
      </c>
      <c r="I44"/>
    </row>
    <row r="45" spans="2:9" x14ac:dyDescent="0.25">
      <c r="B45" s="25">
        <v>36</v>
      </c>
      <c r="C45" s="29">
        <f t="shared" si="0"/>
        <v>501169.57136429986</v>
      </c>
      <c r="D45" s="8">
        <f t="shared" si="1"/>
        <v>5502.2665259407258</v>
      </c>
      <c r="E45" s="8">
        <f t="shared" si="2"/>
        <v>506671.8378902406</v>
      </c>
      <c r="F45" s="29">
        <f t="shared" si="3"/>
        <v>1.7229467630386353E-8</v>
      </c>
      <c r="G45" s="29">
        <v>0</v>
      </c>
      <c r="H45" s="8">
        <f t="shared" si="4"/>
        <v>506671.8378902406</v>
      </c>
      <c r="I45"/>
    </row>
    <row r="46" spans="2:9" x14ac:dyDescent="0.25">
      <c r="I46"/>
    </row>
    <row r="47" spans="2:9" x14ac:dyDescent="0.25">
      <c r="C47" s="50"/>
      <c r="I47"/>
    </row>
  </sheetData>
  <dataValidations count="1">
    <dataValidation allowBlank="1" showInputMessage="1" showErrorMessage="1" prompt="Este libro genera un programa de amortización del préstamo que calcula el interés total, el total de pagos e incluye la opción de pagos extra." sqref="K8" xr:uid="{00000000-0002-0000-0A00-000000000000}"/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>
      <selection activeCell="A3" sqref="A3"/>
    </sheetView>
  </sheetViews>
  <sheetFormatPr baseColWidth="10" defaultRowHeight="15" x14ac:dyDescent="0.25"/>
  <cols>
    <col min="1" max="1" width="29.85546875" style="50" bestFit="1" customWidth="1"/>
    <col min="2" max="3" width="14.140625" style="50" bestFit="1" customWidth="1"/>
    <col min="4" max="6" width="15.140625" style="50" bestFit="1" customWidth="1"/>
    <col min="7" max="16384" width="11.42578125" style="50"/>
  </cols>
  <sheetData>
    <row r="1" spans="1:8" x14ac:dyDescent="0.25">
      <c r="H1" s="51" t="s">
        <v>0</v>
      </c>
    </row>
    <row r="3" spans="1:8" x14ac:dyDescent="0.25">
      <c r="A3" s="52"/>
      <c r="B3" s="53" t="s">
        <v>33</v>
      </c>
      <c r="C3" s="53" t="s">
        <v>34</v>
      </c>
      <c r="D3" s="53" t="s">
        <v>35</v>
      </c>
      <c r="E3" s="53" t="s">
        <v>36</v>
      </c>
      <c r="F3" s="53" t="s">
        <v>37</v>
      </c>
    </row>
    <row r="4" spans="1:8" x14ac:dyDescent="0.25">
      <c r="A4" s="29" t="s">
        <v>117</v>
      </c>
      <c r="B4" s="29">
        <f>VENTAS!C26</f>
        <v>90828989.193851501</v>
      </c>
      <c r="C4" s="29">
        <f>VENTAS!D26</f>
        <v>96278728.545482606</v>
      </c>
      <c r="D4" s="29">
        <f>VENTAS!E26</f>
        <v>102055452.25821157</v>
      </c>
      <c r="E4" s="29">
        <f>VENTAS!F26</f>
        <v>108178779.39370427</v>
      </c>
      <c r="F4" s="29">
        <f>VENTAS!G26</f>
        <v>114669506.15732652</v>
      </c>
    </row>
    <row r="5" spans="1:8" x14ac:dyDescent="0.25">
      <c r="A5" s="29" t="s">
        <v>118</v>
      </c>
      <c r="B5" s="29">
        <f>GASTOS!C14-PRODUCCION!F18</f>
        <v>18619942.784739561</v>
      </c>
      <c r="C5" s="29">
        <f>GASTOS!D14-PRODUCCION!G18</f>
        <v>19737139.351823933</v>
      </c>
      <c r="D5" s="29">
        <f>GASTOS!E14-PRODUCCION!H18</f>
        <v>20921367.712933373</v>
      </c>
      <c r="E5" s="29">
        <f>GASTOS!F14-PRODUCCION!I18</f>
        <v>22176649.775709372</v>
      </c>
      <c r="F5" s="29">
        <f>GASTOS!G14-PRODUCCION!J18</f>
        <v>23507248.762251936</v>
      </c>
    </row>
    <row r="6" spans="1:8" x14ac:dyDescent="0.25">
      <c r="A6" s="33" t="s">
        <v>119</v>
      </c>
      <c r="B6" s="33">
        <f>B4-B5</f>
        <v>72209046.409111947</v>
      </c>
      <c r="C6" s="33">
        <f t="shared" ref="C6:F6" si="0">C4-C5</f>
        <v>76541589.19365868</v>
      </c>
      <c r="D6" s="33">
        <f t="shared" si="0"/>
        <v>81134084.545278192</v>
      </c>
      <c r="E6" s="33">
        <f t="shared" si="0"/>
        <v>86002129.61799489</v>
      </c>
      <c r="F6" s="33">
        <f t="shared" si="0"/>
        <v>91162257.395074576</v>
      </c>
    </row>
    <row r="7" spans="1:8" x14ac:dyDescent="0.25">
      <c r="A7" s="29"/>
      <c r="B7" s="29"/>
      <c r="C7" s="29"/>
      <c r="D7" s="29"/>
      <c r="E7" s="29"/>
      <c r="F7" s="29"/>
    </row>
    <row r="8" spans="1:8" x14ac:dyDescent="0.25">
      <c r="A8" s="29" t="s">
        <v>120</v>
      </c>
      <c r="B8" s="29">
        <f>GASTOS!C15+GASTOS!C16</f>
        <v>19665797.8387703</v>
      </c>
      <c r="C8" s="29">
        <f>GASTOS!D15+GASTOS!D16</f>
        <v>20755745.709096521</v>
      </c>
      <c r="D8" s="29">
        <f>GASTOS!E15+GASTOS!E16</f>
        <v>21911090.451642316</v>
      </c>
      <c r="E8" s="29">
        <f>GASTOS!F15+GASTOS!F16</f>
        <v>23135755.878740851</v>
      </c>
      <c r="F8" s="29">
        <f>GASTOS!G15+GASTOS!G16</f>
        <v>24433901.231465306</v>
      </c>
    </row>
    <row r="9" spans="1:8" x14ac:dyDescent="0.25">
      <c r="A9" s="29" t="s">
        <v>121</v>
      </c>
      <c r="B9" s="29">
        <f>GASTOS!O22</f>
        <v>10434000</v>
      </c>
      <c r="C9" s="29">
        <f>GASTOS!D35</f>
        <v>11164380</v>
      </c>
      <c r="D9" s="29">
        <f>GASTOS!E35</f>
        <v>11945886.6</v>
      </c>
      <c r="E9" s="29">
        <f>GASTOS!F35</f>
        <v>12782098.662</v>
      </c>
      <c r="F9" s="29">
        <f>GASTOS!G35</f>
        <v>13676845.56834</v>
      </c>
    </row>
    <row r="10" spans="1:8" x14ac:dyDescent="0.25">
      <c r="A10" s="29" t="s">
        <v>122</v>
      </c>
      <c r="B10" s="29">
        <f>GASTOS!O23</f>
        <v>10434000</v>
      </c>
      <c r="C10" s="29">
        <f>GASTOS!D36</f>
        <v>11164380</v>
      </c>
      <c r="D10" s="29">
        <f>GASTOS!E36</f>
        <v>11945886.6</v>
      </c>
      <c r="E10" s="29">
        <f>GASTOS!F36</f>
        <v>12782098.662</v>
      </c>
      <c r="F10" s="29">
        <f>GASTOS!G36</f>
        <v>13676845.56834</v>
      </c>
    </row>
    <row r="11" spans="1:8" x14ac:dyDescent="0.25">
      <c r="A11" s="29" t="s">
        <v>123</v>
      </c>
      <c r="B11" s="29">
        <f>GASTOS!O24</f>
        <v>8136000</v>
      </c>
      <c r="C11" s="29">
        <f>GASTOS!D37</f>
        <v>8705520</v>
      </c>
      <c r="D11" s="29">
        <f>GASTOS!E37</f>
        <v>9314906.4000000004</v>
      </c>
      <c r="E11" s="29">
        <f>GASTOS!F37</f>
        <v>9966949.8480000012</v>
      </c>
      <c r="F11" s="29">
        <f>GASTOS!G37</f>
        <v>10664636.337360002</v>
      </c>
    </row>
    <row r="12" spans="1:8" x14ac:dyDescent="0.25">
      <c r="A12" s="29" t="s">
        <v>124</v>
      </c>
      <c r="B12" s="29">
        <f>GASTOS!O25</f>
        <v>1200000</v>
      </c>
      <c r="C12" s="29">
        <f>GASTOS!D38</f>
        <v>1284000</v>
      </c>
      <c r="D12" s="29">
        <f>GASTOS!E38</f>
        <v>1373880</v>
      </c>
      <c r="E12" s="29">
        <f>GASTOS!F38</f>
        <v>1470051.6</v>
      </c>
      <c r="F12" s="29">
        <f>GASTOS!G38</f>
        <v>1572955.2120000001</v>
      </c>
    </row>
    <row r="13" spans="1:8" x14ac:dyDescent="0.25">
      <c r="A13" s="29" t="s">
        <v>125</v>
      </c>
      <c r="B13" s="29">
        <f>GASTOS!O26</f>
        <v>2400000</v>
      </c>
      <c r="C13" s="29">
        <f>GASTOS!D39</f>
        <v>2568000</v>
      </c>
      <c r="D13" s="29">
        <f>GASTOS!E39</f>
        <v>2747760</v>
      </c>
      <c r="E13" s="29">
        <f>GASTOS!F39</f>
        <v>2940103.2</v>
      </c>
      <c r="F13" s="29">
        <f>GASTOS!G39</f>
        <v>3145910.4240000001</v>
      </c>
    </row>
    <row r="14" spans="1:8" x14ac:dyDescent="0.25">
      <c r="A14" s="29" t="s">
        <v>126</v>
      </c>
      <c r="B14" s="29">
        <f>GASTOS!O27</f>
        <v>1800000</v>
      </c>
      <c r="C14" s="29">
        <f>GASTOS!D40</f>
        <v>1926000</v>
      </c>
      <c r="D14" s="29">
        <f>GASTOS!E40</f>
        <v>2060820</v>
      </c>
      <c r="E14" s="29">
        <f>GASTOS!F40</f>
        <v>2205077.4</v>
      </c>
      <c r="F14" s="29">
        <f>GASTOS!G40</f>
        <v>2359432.818</v>
      </c>
    </row>
    <row r="15" spans="1:8" x14ac:dyDescent="0.25">
      <c r="A15" s="29" t="s">
        <v>127</v>
      </c>
      <c r="B15" s="29">
        <f>GASTOS!O28</f>
        <v>726631.91355081194</v>
      </c>
      <c r="C15" s="29">
        <f>GASTOS!D41</f>
        <v>777496.14749936876</v>
      </c>
      <c r="D15" s="29">
        <f>GASTOS!E41</f>
        <v>831920.87782432453</v>
      </c>
      <c r="E15" s="29">
        <f>GASTOS!F41</f>
        <v>890155.33927202725</v>
      </c>
      <c r="F15" s="29">
        <f>GASTOS!G41</f>
        <v>952466.21302106918</v>
      </c>
    </row>
    <row r="16" spans="1:8" x14ac:dyDescent="0.25">
      <c r="A16" s="29" t="s">
        <v>128</v>
      </c>
      <c r="B16" s="29">
        <f>GASTOS!O29</f>
        <v>600000</v>
      </c>
      <c r="C16" s="29">
        <f>GASTOS!D42</f>
        <v>642000</v>
      </c>
      <c r="D16" s="29">
        <f>GASTOS!E42</f>
        <v>686940</v>
      </c>
      <c r="E16" s="29">
        <f>GASTOS!F42</f>
        <v>735025.8</v>
      </c>
      <c r="F16" s="29">
        <f>GASTOS!G42</f>
        <v>786477.60600000003</v>
      </c>
    </row>
    <row r="17" spans="1:6" x14ac:dyDescent="0.25">
      <c r="A17" s="29"/>
      <c r="B17" s="29"/>
      <c r="C17" s="29"/>
      <c r="D17" s="29"/>
      <c r="E17" s="29"/>
      <c r="F17" s="29"/>
    </row>
    <row r="18" spans="1:6" x14ac:dyDescent="0.25">
      <c r="A18" s="33" t="s">
        <v>129</v>
      </c>
      <c r="B18" s="29">
        <f>SUM(B8:B16)</f>
        <v>55396429.752321109</v>
      </c>
      <c r="C18" s="29">
        <f>SUM(C8:C16)</f>
        <v>58987521.856595889</v>
      </c>
      <c r="D18" s="29">
        <f>SUM(D8:D16)</f>
        <v>62819090.929466635</v>
      </c>
      <c r="E18" s="29">
        <f>SUM(E8:E16)</f>
        <v>66907316.390012883</v>
      </c>
      <c r="F18" s="29">
        <f>SUM(F8:F16)</f>
        <v>71269470.978526384</v>
      </c>
    </row>
    <row r="19" spans="1:6" x14ac:dyDescent="0.25">
      <c r="A19" s="29"/>
      <c r="B19" s="29"/>
      <c r="C19" s="29"/>
      <c r="D19" s="29"/>
      <c r="E19" s="29"/>
      <c r="F19" s="29"/>
    </row>
    <row r="20" spans="1:6" ht="27.75" customHeight="1" x14ac:dyDescent="0.25">
      <c r="A20" s="53" t="s">
        <v>130</v>
      </c>
      <c r="B20" s="29">
        <f>B6-B18</f>
        <v>16812616.656790838</v>
      </c>
      <c r="C20" s="29">
        <f>C6-C18</f>
        <v>17554067.337062791</v>
      </c>
      <c r="D20" s="29">
        <f>D6-D18</f>
        <v>18314993.615811557</v>
      </c>
      <c r="E20" s="29">
        <f>E6-E18</f>
        <v>19094813.227982007</v>
      </c>
      <c r="F20" s="29">
        <f>F6-F18</f>
        <v>19892786.416548193</v>
      </c>
    </row>
    <row r="21" spans="1:6" x14ac:dyDescent="0.25">
      <c r="A21" s="29"/>
      <c r="B21" s="29"/>
      <c r="C21" s="29"/>
      <c r="D21" s="29"/>
      <c r="E21" s="29"/>
      <c r="F21" s="29"/>
    </row>
    <row r="22" spans="1:6" x14ac:dyDescent="0.25">
      <c r="A22" s="29" t="s">
        <v>131</v>
      </c>
      <c r="B22" s="29">
        <f>PRESTAMO!K11</f>
        <v>1719089.8486124135</v>
      </c>
      <c r="C22" s="29">
        <f>PRESTAMO!L11</f>
        <v>1108553.7397625523</v>
      </c>
      <c r="D22" s="29">
        <f>PRESTAMO!M11</f>
        <v>412542.57567371114</v>
      </c>
      <c r="E22" s="29">
        <f>PRESTAMO!N11</f>
        <v>0</v>
      </c>
      <c r="F22" s="29">
        <f>PRESTAMO!O11</f>
        <v>0</v>
      </c>
    </row>
    <row r="23" spans="1:6" x14ac:dyDescent="0.25">
      <c r="A23" s="29"/>
      <c r="B23" s="29"/>
      <c r="C23" s="29"/>
      <c r="D23" s="29"/>
      <c r="E23" s="29"/>
      <c r="F23" s="29"/>
    </row>
    <row r="24" spans="1:6" x14ac:dyDescent="0.25">
      <c r="A24" s="33" t="s">
        <v>132</v>
      </c>
      <c r="B24" s="29">
        <f>B20-B22</f>
        <v>15093526.808178425</v>
      </c>
      <c r="C24" s="29">
        <f>C20-C22</f>
        <v>16445513.597300239</v>
      </c>
      <c r="D24" s="29">
        <f>D20-D22</f>
        <v>17902451.040137846</v>
      </c>
      <c r="E24" s="29">
        <f>E20-E22</f>
        <v>19094813.227982007</v>
      </c>
      <c r="F24" s="29">
        <f>F20-F22</f>
        <v>19892786.416548193</v>
      </c>
    </row>
    <row r="25" spans="1:6" x14ac:dyDescent="0.25">
      <c r="A25" s="29"/>
      <c r="B25" s="29"/>
      <c r="C25" s="29"/>
      <c r="D25" s="29"/>
      <c r="E25" s="29"/>
      <c r="F25" s="29"/>
    </row>
    <row r="26" spans="1:6" x14ac:dyDescent="0.25">
      <c r="A26" s="29" t="s">
        <v>133</v>
      </c>
      <c r="B26" s="29">
        <f>IF(B24&gt;0,B24*$B$28,0)</f>
        <v>4980863.8466988802</v>
      </c>
      <c r="C26" s="29">
        <f>IF(C24&gt;0,C24*$B$28,0)</f>
        <v>5427019.487109079</v>
      </c>
      <c r="D26" s="29">
        <f>IF(D24&gt;0,D24*$B$28,0)</f>
        <v>5907808.8432454895</v>
      </c>
      <c r="E26" s="29">
        <f>IF(E24&gt;0,E24*$B$28,0)</f>
        <v>6301288.365234063</v>
      </c>
      <c r="F26" s="29">
        <f>IF(F24&gt;0,F24*$B$28,0)</f>
        <v>6564619.5174609041</v>
      </c>
    </row>
    <row r="27" spans="1:6" x14ac:dyDescent="0.25">
      <c r="A27" s="33" t="s">
        <v>134</v>
      </c>
      <c r="B27" s="29">
        <f>B24-B26</f>
        <v>10112662.961479545</v>
      </c>
      <c r="C27" s="29">
        <f t="shared" ref="C27:F27" si="1">C24-C26</f>
        <v>11018494.110191159</v>
      </c>
      <c r="D27" s="29">
        <f t="shared" si="1"/>
        <v>11994642.196892357</v>
      </c>
      <c r="E27" s="29">
        <f t="shared" si="1"/>
        <v>12793524.862747945</v>
      </c>
      <c r="F27" s="29">
        <f t="shared" si="1"/>
        <v>13328166.899087287</v>
      </c>
    </row>
    <row r="28" spans="1:6" x14ac:dyDescent="0.25">
      <c r="A28" s="50" t="s">
        <v>135</v>
      </c>
      <c r="B28" s="85">
        <v>0.33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8"/>
  <sheetViews>
    <sheetView workbookViewId="0">
      <selection activeCell="I27" sqref="I27"/>
    </sheetView>
  </sheetViews>
  <sheetFormatPr baseColWidth="10" defaultRowHeight="15" x14ac:dyDescent="0.25"/>
  <cols>
    <col min="1" max="1" width="21.42578125" bestFit="1" customWidth="1"/>
    <col min="2" max="2" width="19.85546875" style="50" bestFit="1" customWidth="1"/>
    <col min="5" max="5" width="12.5703125" bestFit="1" customWidth="1"/>
  </cols>
  <sheetData>
    <row r="2" spans="1:8" x14ac:dyDescent="0.25">
      <c r="H2" s="51" t="s">
        <v>0</v>
      </c>
    </row>
    <row r="5" spans="1:8" x14ac:dyDescent="0.25">
      <c r="A5" t="s">
        <v>136</v>
      </c>
      <c r="B5" s="50">
        <f>VENTAS!C26/SUM(VENTAS!C14)</f>
        <v>19999.999999999996</v>
      </c>
    </row>
    <row r="6" spans="1:8" x14ac:dyDescent="0.25">
      <c r="A6" t="s">
        <v>137</v>
      </c>
      <c r="B6" s="50">
        <f>GASTOS!C14/SUM(VENTAS!C14)</f>
        <v>4100</v>
      </c>
    </row>
    <row r="7" spans="1:8" x14ac:dyDescent="0.25">
      <c r="A7" t="s">
        <v>138</v>
      </c>
      <c r="B7" s="50">
        <f>B5-B6</f>
        <v>15899.999999999996</v>
      </c>
    </row>
    <row r="8" spans="1:8" x14ac:dyDescent="0.25">
      <c r="A8" t="s">
        <v>139</v>
      </c>
      <c r="B8" s="50">
        <f>GASTOS!C17-GASTOS!C14+GASTOS!C43+RESULTADO!B26</f>
        <v>60377293.599019989</v>
      </c>
    </row>
    <row r="9" spans="1:8" x14ac:dyDescent="0.25">
      <c r="A9" s="2" t="s">
        <v>140</v>
      </c>
      <c r="B9" s="50">
        <f>B8/B7</f>
        <v>3797.3140628314468</v>
      </c>
    </row>
    <row r="10" spans="1:8" x14ac:dyDescent="0.25">
      <c r="A10" s="2" t="s">
        <v>141</v>
      </c>
      <c r="B10" s="50">
        <f>B9*B5</f>
        <v>75946281.256628916</v>
      </c>
    </row>
    <row r="13" spans="1:8" x14ac:dyDescent="0.25">
      <c r="A13" s="2" t="s">
        <v>176</v>
      </c>
      <c r="B13" s="50">
        <v>0</v>
      </c>
      <c r="C13" s="93">
        <f>D13*0.5</f>
        <v>1898.6570314157234</v>
      </c>
      <c r="D13" s="93">
        <f>B9</f>
        <v>3797.3140628314468</v>
      </c>
      <c r="E13" s="93">
        <f>D13*1.5</f>
        <v>5695.9710942471702</v>
      </c>
    </row>
    <row r="14" spans="1:8" x14ac:dyDescent="0.25">
      <c r="A14" s="2" t="s">
        <v>117</v>
      </c>
      <c r="B14" s="50">
        <f>B13*$B$5</f>
        <v>0</v>
      </c>
      <c r="C14" s="50">
        <f>C13*$B$5</f>
        <v>37973140.628314458</v>
      </c>
      <c r="D14" s="50">
        <f>D13*$B$5</f>
        <v>75946281.256628916</v>
      </c>
      <c r="E14" s="50">
        <f t="shared" ref="E14" si="0">E13*$B$5</f>
        <v>113919421.88494338</v>
      </c>
    </row>
    <row r="15" spans="1:8" x14ac:dyDescent="0.25">
      <c r="A15" s="2" t="s">
        <v>177</v>
      </c>
      <c r="B15" s="50">
        <f>$B$8+B13*$B$6</f>
        <v>60377293.599019989</v>
      </c>
      <c r="C15" s="50">
        <f t="shared" ref="C15:E15" si="1">$B$8+C13*$B$6</f>
        <v>68161787.427824453</v>
      </c>
      <c r="D15" s="50">
        <f t="shared" si="1"/>
        <v>75946281.256628916</v>
      </c>
      <c r="E15" s="50">
        <f t="shared" si="1"/>
        <v>83730775.085433394</v>
      </c>
    </row>
    <row r="16" spans="1:8" x14ac:dyDescent="0.25">
      <c r="A16" s="2" t="s">
        <v>139</v>
      </c>
      <c r="B16" s="50">
        <f>B8</f>
        <v>60377293.599019989</v>
      </c>
      <c r="C16" s="93">
        <f>B16</f>
        <v>60377293.599019989</v>
      </c>
      <c r="D16" s="93">
        <f t="shared" ref="D16:E16" si="2">C16</f>
        <v>60377293.599019989</v>
      </c>
      <c r="E16" s="93">
        <f t="shared" si="2"/>
        <v>60377293.599019989</v>
      </c>
    </row>
    <row r="18" spans="4:4" x14ac:dyDescent="0.25">
      <c r="D18" t="s">
        <v>221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P35"/>
  <sheetViews>
    <sheetView topLeftCell="B1" workbookViewId="0">
      <selection activeCell="C23" sqref="C23"/>
    </sheetView>
  </sheetViews>
  <sheetFormatPr baseColWidth="10" defaultRowHeight="15" x14ac:dyDescent="0.25"/>
  <cols>
    <col min="1" max="1" width="11.42578125" style="50"/>
    <col min="2" max="2" width="28" style="50" bestFit="1" customWidth="1"/>
    <col min="3" max="14" width="13.140625" style="50" bestFit="1" customWidth="1"/>
    <col min="15" max="15" width="14.140625" style="50" bestFit="1" customWidth="1"/>
    <col min="16" max="16384" width="11.42578125" style="50"/>
  </cols>
  <sheetData>
    <row r="2" spans="2:16" x14ac:dyDescent="0.25">
      <c r="H2" s="51" t="s">
        <v>0</v>
      </c>
    </row>
    <row r="5" spans="2:16" x14ac:dyDescent="0.25">
      <c r="B5" s="52" t="s">
        <v>143</v>
      </c>
      <c r="C5" s="53" t="s">
        <v>19</v>
      </c>
      <c r="D5" s="53" t="s">
        <v>20</v>
      </c>
      <c r="E5" s="53" t="s">
        <v>21</v>
      </c>
      <c r="F5" s="53" t="s">
        <v>22</v>
      </c>
      <c r="G5" s="53" t="s">
        <v>23</v>
      </c>
      <c r="H5" s="53" t="s">
        <v>24</v>
      </c>
      <c r="I5" s="53" t="s">
        <v>25</v>
      </c>
      <c r="J5" s="53" t="s">
        <v>26</v>
      </c>
      <c r="K5" s="53" t="s">
        <v>27</v>
      </c>
      <c r="L5" s="53" t="s">
        <v>28</v>
      </c>
      <c r="M5" s="53" t="s">
        <v>29</v>
      </c>
      <c r="N5" s="53" t="s">
        <v>30</v>
      </c>
      <c r="O5" s="53" t="s">
        <v>31</v>
      </c>
      <c r="P5" s="113" t="s">
        <v>215</v>
      </c>
    </row>
    <row r="6" spans="2:16" x14ac:dyDescent="0.25">
      <c r="B6" s="29" t="s">
        <v>144</v>
      </c>
      <c r="C6" s="29">
        <f>COBRANZAS!D12</f>
        <v>6400000</v>
      </c>
      <c r="D6" s="29">
        <f>COBRANZAS!E12</f>
        <v>6592000</v>
      </c>
      <c r="E6" s="29">
        <f>COBRANZAS!F12</f>
        <v>6789760</v>
      </c>
      <c r="F6" s="29">
        <f>COBRANZAS!G12</f>
        <v>6993452.7999999998</v>
      </c>
      <c r="G6" s="29">
        <f>COBRANZAS!H12</f>
        <v>7203256.3839999996</v>
      </c>
      <c r="H6" s="29">
        <f>COBRANZAS!I12</f>
        <v>7419354.0755200004</v>
      </c>
      <c r="I6" s="29">
        <f>COBRANZAS!J12</f>
        <v>7641934.6977856001</v>
      </c>
      <c r="J6" s="29">
        <f>COBRANZAS!K12</f>
        <v>7871192.7387191681</v>
      </c>
      <c r="K6" s="29">
        <f>COBRANZAS!L12</f>
        <v>8107328.5208807429</v>
      </c>
      <c r="L6" s="29">
        <f>COBRANZAS!M12</f>
        <v>8350548.3765071649</v>
      </c>
      <c r="M6" s="29">
        <f>COBRANZAS!N12</f>
        <v>8601064.8278023805</v>
      </c>
      <c r="N6" s="29">
        <f>COBRANZAS!O12</f>
        <v>8859096.7726364508</v>
      </c>
      <c r="O6" s="29">
        <f>COBRANZAS!P12</f>
        <v>90828989.193851501</v>
      </c>
    </row>
    <row r="7" spans="2:16" x14ac:dyDescent="0.25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6" x14ac:dyDescent="0.25">
      <c r="B8" s="29" t="s">
        <v>145</v>
      </c>
      <c r="C8" s="29">
        <f>PAGOS!E11</f>
        <v>1312000</v>
      </c>
      <c r="D8" s="29">
        <f>PAGOS!F11</f>
        <v>1351360</v>
      </c>
      <c r="E8" s="29">
        <f>PAGOS!G11</f>
        <v>1391900.8</v>
      </c>
      <c r="F8" s="29">
        <f>PAGOS!H11</f>
        <v>1433657.824</v>
      </c>
      <c r="G8" s="29">
        <f>PAGOS!I11</f>
        <v>1476667.5587200001</v>
      </c>
      <c r="H8" s="29">
        <f>PAGOS!J11</f>
        <v>1520967.5854816001</v>
      </c>
      <c r="I8" s="29">
        <f>PAGOS!K11</f>
        <v>1566596.613046048</v>
      </c>
      <c r="J8" s="29">
        <f>PAGOS!L11</f>
        <v>1613594.5114374296</v>
      </c>
      <c r="K8" s="29">
        <f>PAGOS!M11</f>
        <v>1662002.3467805525</v>
      </c>
      <c r="L8" s="29">
        <f>PAGOS!N11</f>
        <v>1711862.4171839689</v>
      </c>
      <c r="M8" s="29">
        <f>PAGOS!O11</f>
        <v>1763218.2896994879</v>
      </c>
      <c r="N8" s="29">
        <f>PAGOS!P11</f>
        <v>1816114.8383904726</v>
      </c>
      <c r="O8" s="29">
        <f>PAGOS!Q11</f>
        <v>18619942.784739561</v>
      </c>
    </row>
    <row r="9" spans="2:16" x14ac:dyDescent="0.25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2:16" x14ac:dyDescent="0.25">
      <c r="B10" s="33" t="s">
        <v>146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2:16" x14ac:dyDescent="0.25">
      <c r="B11" s="29" t="s">
        <v>147</v>
      </c>
      <c r="C11" s="29">
        <f>GASTOS!C22</f>
        <v>869500</v>
      </c>
      <c r="D11" s="29">
        <f>GASTOS!D22</f>
        <v>869500</v>
      </c>
      <c r="E11" s="29">
        <f>GASTOS!E22</f>
        <v>869500</v>
      </c>
      <c r="F11" s="29">
        <f>GASTOS!F22</f>
        <v>869500</v>
      </c>
      <c r="G11" s="29">
        <f>GASTOS!G22</f>
        <v>869500</v>
      </c>
      <c r="H11" s="29">
        <f>GASTOS!H22</f>
        <v>869500</v>
      </c>
      <c r="I11" s="29">
        <f>GASTOS!I22</f>
        <v>869500</v>
      </c>
      <c r="J11" s="29">
        <f>GASTOS!J22</f>
        <v>869500</v>
      </c>
      <c r="K11" s="29">
        <f>GASTOS!K22</f>
        <v>869500</v>
      </c>
      <c r="L11" s="29">
        <f>GASTOS!L22</f>
        <v>869500</v>
      </c>
      <c r="M11" s="29">
        <f>GASTOS!M22</f>
        <v>869500</v>
      </c>
      <c r="N11" s="29">
        <f>GASTOS!N22</f>
        <v>869500</v>
      </c>
      <c r="O11" s="29">
        <f>GASTOS!O22</f>
        <v>10434000</v>
      </c>
    </row>
    <row r="12" spans="2:16" x14ac:dyDescent="0.25">
      <c r="B12" s="29" t="s">
        <v>148</v>
      </c>
      <c r="C12" s="29">
        <f>GASTOS!C23</f>
        <v>869500</v>
      </c>
      <c r="D12" s="29">
        <f>GASTOS!C23</f>
        <v>869500</v>
      </c>
      <c r="E12" s="29">
        <f>GASTOS!D23</f>
        <v>869500</v>
      </c>
      <c r="F12" s="29">
        <f>GASTOS!E23</f>
        <v>869500</v>
      </c>
      <c r="G12" s="29">
        <f>GASTOS!F23</f>
        <v>869500</v>
      </c>
      <c r="H12" s="29">
        <f>GASTOS!G23</f>
        <v>869500</v>
      </c>
      <c r="I12" s="29">
        <f>GASTOS!H23</f>
        <v>869500</v>
      </c>
      <c r="J12" s="29">
        <f>GASTOS!I23</f>
        <v>869500</v>
      </c>
      <c r="K12" s="29">
        <f>GASTOS!J23</f>
        <v>869500</v>
      </c>
      <c r="L12" s="29">
        <f>GASTOS!K23</f>
        <v>869500</v>
      </c>
      <c r="M12" s="29">
        <f>GASTOS!L23</f>
        <v>869500</v>
      </c>
      <c r="N12" s="29">
        <f>GASTOS!M23</f>
        <v>869500</v>
      </c>
      <c r="O12" s="29">
        <f>GASTOS!O23</f>
        <v>10434000</v>
      </c>
    </row>
    <row r="13" spans="2:16" x14ac:dyDescent="0.25">
      <c r="B13" s="29" t="s">
        <v>149</v>
      </c>
      <c r="C13" s="29">
        <f>GASTOS!C24</f>
        <v>678000</v>
      </c>
      <c r="D13" s="29">
        <f>GASTOS!C24</f>
        <v>678000</v>
      </c>
      <c r="E13" s="29">
        <f>GASTOS!D24</f>
        <v>678000</v>
      </c>
      <c r="F13" s="29">
        <f>GASTOS!E24</f>
        <v>678000</v>
      </c>
      <c r="G13" s="29">
        <f>GASTOS!F24</f>
        <v>678000</v>
      </c>
      <c r="H13" s="29">
        <f>GASTOS!G24</f>
        <v>678000</v>
      </c>
      <c r="I13" s="29">
        <f>GASTOS!H24</f>
        <v>678000</v>
      </c>
      <c r="J13" s="29">
        <f>GASTOS!I24</f>
        <v>678000</v>
      </c>
      <c r="K13" s="29">
        <f>GASTOS!J24</f>
        <v>678000</v>
      </c>
      <c r="L13" s="29">
        <f>GASTOS!K24</f>
        <v>678000</v>
      </c>
      <c r="M13" s="29">
        <f>GASTOS!L24</f>
        <v>678000</v>
      </c>
      <c r="N13" s="29">
        <f>GASTOS!M24</f>
        <v>678000</v>
      </c>
      <c r="O13" s="29">
        <f>GASTOS!O24</f>
        <v>8136000</v>
      </c>
    </row>
    <row r="14" spans="2:16" x14ac:dyDescent="0.25">
      <c r="B14" s="29" t="s">
        <v>154</v>
      </c>
      <c r="C14" s="29">
        <f>SUM(C11:C13)</f>
        <v>2417000</v>
      </c>
      <c r="D14" s="29">
        <f>SUM(D11:D13)</f>
        <v>2417000</v>
      </c>
      <c r="E14" s="29">
        <f t="shared" ref="E14:N14" si="0">SUM(E11:E13)</f>
        <v>2417000</v>
      </c>
      <c r="F14" s="29">
        <f t="shared" si="0"/>
        <v>2417000</v>
      </c>
      <c r="G14" s="29">
        <f t="shared" si="0"/>
        <v>2417000</v>
      </c>
      <c r="H14" s="29">
        <f t="shared" si="0"/>
        <v>2417000</v>
      </c>
      <c r="I14" s="29">
        <f t="shared" si="0"/>
        <v>2417000</v>
      </c>
      <c r="J14" s="29">
        <f t="shared" si="0"/>
        <v>2417000</v>
      </c>
      <c r="K14" s="29">
        <f t="shared" si="0"/>
        <v>2417000</v>
      </c>
      <c r="L14" s="29">
        <f t="shared" si="0"/>
        <v>2417000</v>
      </c>
      <c r="M14" s="29">
        <f t="shared" si="0"/>
        <v>2417000</v>
      </c>
      <c r="N14" s="29">
        <f t="shared" si="0"/>
        <v>2417000</v>
      </c>
      <c r="O14" s="29">
        <f>SUM(O11:O13)</f>
        <v>29004000</v>
      </c>
    </row>
    <row r="15" spans="2:16" x14ac:dyDescent="0.25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2:16" x14ac:dyDescent="0.25">
      <c r="B16" s="29" t="s">
        <v>150</v>
      </c>
      <c r="C16" s="29">
        <f>GASTOS!C10-GASTOS!C9-(GASTOS!C7)</f>
        <v>1280000</v>
      </c>
      <c r="D16" s="29">
        <f>GASTOS!D10-GASTOS!D9-(GASTOS!D7)</f>
        <v>1318400</v>
      </c>
      <c r="E16" s="29">
        <f>GASTOS!E10-GASTOS!E9-(GASTOS!E7)</f>
        <v>1357951.9999999998</v>
      </c>
      <c r="F16" s="29">
        <f>GASTOS!F10-GASTOS!F9-(GASTOS!F7)</f>
        <v>1398690.56</v>
      </c>
      <c r="G16" s="29">
        <f>GASTOS!G10-GASTOS!G9-(GASTOS!G7)</f>
        <v>1440651.2768000001</v>
      </c>
      <c r="H16" s="29">
        <f>GASTOS!H10-GASTOS!H9-(GASTOS!H7)</f>
        <v>1483870.815104</v>
      </c>
      <c r="I16" s="29">
        <f>GASTOS!I10-GASTOS!I9-(GASTOS!I7)</f>
        <v>1528386.93955712</v>
      </c>
      <c r="J16" s="29">
        <f>GASTOS!J10-GASTOS!J9-(GASTOS!J7)</f>
        <v>1574238.5477438336</v>
      </c>
      <c r="K16" s="29">
        <f>GASTOS!K10-GASTOS!K9-(GASTOS!K7)</f>
        <v>1621465.7041761484</v>
      </c>
      <c r="L16" s="29">
        <f>GASTOS!L10-GASTOS!L9-(GASTOS!L7)</f>
        <v>1670109.6753014328</v>
      </c>
      <c r="M16" s="29">
        <f>GASTOS!M10-GASTOS!M9-(GASTOS!M7)</f>
        <v>1720212.9655604758</v>
      </c>
      <c r="N16" s="29">
        <f>GASTOS!N10-GASTOS!N9-(GASTOS!N7)</f>
        <v>1771819.3545272902</v>
      </c>
      <c r="O16" s="29">
        <f>GASTOS!O10-GASTOS!O9-(GASTOS!O7)</f>
        <v>18165797.8387703</v>
      </c>
    </row>
    <row r="17" spans="2:15" x14ac:dyDescent="0.25">
      <c r="B17" s="29" t="s">
        <v>151</v>
      </c>
      <c r="C17" s="29">
        <f>GASTOS!C30-SUM(GASTOS!C22:C24)</f>
        <v>551200</v>
      </c>
      <c r="D17" s="29">
        <f>GASTOS!D30-SUM(GASTOS!D22:D24)</f>
        <v>552736</v>
      </c>
      <c r="E17" s="29">
        <f>GASTOS!E30-SUM(GASTOS!E22:E24)</f>
        <v>554318.08000000007</v>
      </c>
      <c r="F17" s="29">
        <f>GASTOS!F30-SUM(GASTOS!F22:F24)</f>
        <v>555947.62240000023</v>
      </c>
      <c r="G17" s="29">
        <f>GASTOS!G30-SUM(GASTOS!G22:G24)</f>
        <v>557626.05107200006</v>
      </c>
      <c r="H17" s="29">
        <f>GASTOS!H30-SUM(GASTOS!H22:H24)</f>
        <v>559354.83260416007</v>
      </c>
      <c r="I17" s="29">
        <f>GASTOS!I30-SUM(GASTOS!I22:I24)</f>
        <v>561135.47758228472</v>
      </c>
      <c r="J17" s="29">
        <f>GASTOS!J30-SUM(GASTOS!J22:J24)</f>
        <v>562969.54190975334</v>
      </c>
      <c r="K17" s="29">
        <f>GASTOS!K30-SUM(GASTOS!K22:K24)</f>
        <v>564858.62816704577</v>
      </c>
      <c r="L17" s="29">
        <f>GASTOS!L30-SUM(GASTOS!L22:L24)</f>
        <v>566804.38701205747</v>
      </c>
      <c r="M17" s="29">
        <f>GASTOS!M30-SUM(GASTOS!M22:M24)</f>
        <v>568808.51862241887</v>
      </c>
      <c r="N17" s="29">
        <f>GASTOS!N30-SUM(GASTOS!N22:N24)</f>
        <v>570872.77418109169</v>
      </c>
      <c r="O17" s="29">
        <f>GASTOS!O30-SUM(GASTOS!O22:O24)</f>
        <v>6726631.913550809</v>
      </c>
    </row>
    <row r="18" spans="2:15" x14ac:dyDescent="0.25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 spans="2:15" s="51" customFormat="1" ht="15.75" thickBot="1" x14ac:dyDescent="0.3">
      <c r="B19" s="90" t="s">
        <v>152</v>
      </c>
      <c r="C19" s="90">
        <f>C14+C16+C17+C8</f>
        <v>5560200</v>
      </c>
      <c r="D19" s="90">
        <f t="shared" ref="D19:O19" si="1">D14+D16+D17+D8</f>
        <v>5639496</v>
      </c>
      <c r="E19" s="90">
        <f t="shared" si="1"/>
        <v>5721170.8799999999</v>
      </c>
      <c r="F19" s="90">
        <f t="shared" si="1"/>
        <v>5805296.0064000003</v>
      </c>
      <c r="G19" s="90">
        <f t="shared" si="1"/>
        <v>5891944.8865920007</v>
      </c>
      <c r="H19" s="90">
        <f t="shared" si="1"/>
        <v>5981193.2331897607</v>
      </c>
      <c r="I19" s="90">
        <f t="shared" si="1"/>
        <v>6073119.0301854536</v>
      </c>
      <c r="J19" s="90">
        <f t="shared" si="1"/>
        <v>6167802.6010910161</v>
      </c>
      <c r="K19" s="90">
        <f t="shared" si="1"/>
        <v>6265326.6791237472</v>
      </c>
      <c r="L19" s="90">
        <f t="shared" si="1"/>
        <v>6365776.4794974588</v>
      </c>
      <c r="M19" s="90">
        <f t="shared" si="1"/>
        <v>6469239.7738823816</v>
      </c>
      <c r="N19" s="90">
        <f t="shared" si="1"/>
        <v>6575806.9670988536</v>
      </c>
      <c r="O19" s="90">
        <f t="shared" si="1"/>
        <v>72516372.537060678</v>
      </c>
    </row>
    <row r="20" spans="2:15" ht="16.5" thickTop="1" thickBot="1" x14ac:dyDescent="0.3"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</row>
    <row r="21" spans="2:15" s="51" customFormat="1" ht="15.75" thickBot="1" x14ac:dyDescent="0.3">
      <c r="B21" s="86" t="s">
        <v>153</v>
      </c>
      <c r="C21" s="87">
        <f>+C6-C19</f>
        <v>839800</v>
      </c>
      <c r="D21" s="87">
        <f t="shared" ref="D21:O21" si="2">+D6-D19</f>
        <v>952504</v>
      </c>
      <c r="E21" s="87">
        <f t="shared" si="2"/>
        <v>1068589.1200000001</v>
      </c>
      <c r="F21" s="87">
        <f t="shared" si="2"/>
        <v>1188156.7935999995</v>
      </c>
      <c r="G21" s="87">
        <f t="shared" si="2"/>
        <v>1311311.4974079989</v>
      </c>
      <c r="H21" s="87">
        <f t="shared" si="2"/>
        <v>1438160.8423302397</v>
      </c>
      <c r="I21" s="87">
        <f t="shared" si="2"/>
        <v>1568815.6676001465</v>
      </c>
      <c r="J21" s="87">
        <f t="shared" si="2"/>
        <v>1703390.137628152</v>
      </c>
      <c r="K21" s="87">
        <f t="shared" si="2"/>
        <v>1842001.8417569958</v>
      </c>
      <c r="L21" s="87">
        <f t="shared" si="2"/>
        <v>1984771.8970097061</v>
      </c>
      <c r="M21" s="87">
        <f t="shared" si="2"/>
        <v>2131825.0539199989</v>
      </c>
      <c r="N21" s="87">
        <f t="shared" si="2"/>
        <v>2283289.8055375973</v>
      </c>
      <c r="O21" s="88">
        <f t="shared" si="2"/>
        <v>18312616.656790823</v>
      </c>
    </row>
    <row r="23" spans="2:15" x14ac:dyDescent="0.25">
      <c r="B23" s="92" t="s">
        <v>155</v>
      </c>
      <c r="C23" s="92">
        <f>INVERSIONES!E9</f>
        <v>15000000</v>
      </c>
      <c r="O23" s="50">
        <f>C23</f>
        <v>15000000</v>
      </c>
    </row>
    <row r="25" spans="2:15" x14ac:dyDescent="0.25">
      <c r="B25" s="51" t="s">
        <v>156</v>
      </c>
    </row>
    <row r="27" spans="2:15" x14ac:dyDescent="0.25">
      <c r="B27" s="50" t="s">
        <v>157</v>
      </c>
      <c r="C27" s="50">
        <f>PRESTAMO!C4</f>
        <v>15000000</v>
      </c>
      <c r="O27" s="50">
        <f>C27</f>
        <v>15000000</v>
      </c>
    </row>
    <row r="28" spans="2:15" x14ac:dyDescent="0.25">
      <c r="B28" s="50" t="s">
        <v>158</v>
      </c>
      <c r="D28" s="50">
        <f>-PRESTAMO!$H$10</f>
        <v>-506671.8378902406</v>
      </c>
      <c r="E28" s="50">
        <f>-PRESTAMO!$H$10</f>
        <v>-506671.8378902406</v>
      </c>
      <c r="F28" s="50">
        <f>-PRESTAMO!$H$10</f>
        <v>-506671.8378902406</v>
      </c>
      <c r="G28" s="50">
        <f>-PRESTAMO!$H$10</f>
        <v>-506671.8378902406</v>
      </c>
      <c r="H28" s="50">
        <f>-PRESTAMO!$H$10</f>
        <v>-506671.8378902406</v>
      </c>
      <c r="I28" s="50">
        <f>-PRESTAMO!$H$10</f>
        <v>-506671.8378902406</v>
      </c>
      <c r="J28" s="50">
        <f>-PRESTAMO!$H$10</f>
        <v>-506671.8378902406</v>
      </c>
      <c r="K28" s="50">
        <f>-PRESTAMO!$H$10</f>
        <v>-506671.8378902406</v>
      </c>
      <c r="L28" s="50">
        <f>-PRESTAMO!$H$10</f>
        <v>-506671.8378902406</v>
      </c>
      <c r="M28" s="50">
        <f>-PRESTAMO!$H$10</f>
        <v>-506671.8378902406</v>
      </c>
      <c r="N28" s="50">
        <f>-PRESTAMO!$H$10</f>
        <v>-506671.8378902406</v>
      </c>
      <c r="O28" s="50">
        <f>SUM(D28:N28)</f>
        <v>-5573390.2167926449</v>
      </c>
    </row>
    <row r="29" spans="2:15" x14ac:dyDescent="0.25">
      <c r="B29" s="51" t="s">
        <v>159</v>
      </c>
      <c r="C29" s="50">
        <f>C27+C28</f>
        <v>15000000</v>
      </c>
      <c r="D29" s="50">
        <f t="shared" ref="D29:N29" si="3">D27+D28</f>
        <v>-506671.8378902406</v>
      </c>
      <c r="E29" s="50">
        <f t="shared" si="3"/>
        <v>-506671.8378902406</v>
      </c>
      <c r="F29" s="50">
        <f t="shared" si="3"/>
        <v>-506671.8378902406</v>
      </c>
      <c r="G29" s="50">
        <f t="shared" si="3"/>
        <v>-506671.8378902406</v>
      </c>
      <c r="H29" s="50">
        <f t="shared" si="3"/>
        <v>-506671.8378902406</v>
      </c>
      <c r="I29" s="50">
        <f t="shared" si="3"/>
        <v>-506671.8378902406</v>
      </c>
      <c r="J29" s="50">
        <f t="shared" si="3"/>
        <v>-506671.8378902406</v>
      </c>
      <c r="K29" s="50">
        <f t="shared" si="3"/>
        <v>-506671.8378902406</v>
      </c>
      <c r="L29" s="50">
        <f t="shared" si="3"/>
        <v>-506671.8378902406</v>
      </c>
      <c r="M29" s="50">
        <f t="shared" si="3"/>
        <v>-506671.8378902406</v>
      </c>
      <c r="N29" s="50">
        <f t="shared" si="3"/>
        <v>-506671.8378902406</v>
      </c>
      <c r="O29" s="50">
        <f>SUM(C29:N29)</f>
        <v>9426609.7832073458</v>
      </c>
    </row>
    <row r="31" spans="2:15" x14ac:dyDescent="0.25">
      <c r="B31" s="51" t="s">
        <v>160</v>
      </c>
      <c r="C31" s="50">
        <f>C21-C23+C29</f>
        <v>839800</v>
      </c>
      <c r="D31" s="50">
        <f t="shared" ref="D31:M31" si="4">D21-D23+D29</f>
        <v>445832.1621097594</v>
      </c>
      <c r="E31" s="50">
        <f t="shared" si="4"/>
        <v>561917.28210975952</v>
      </c>
      <c r="F31" s="50">
        <f t="shared" si="4"/>
        <v>681484.95570975891</v>
      </c>
      <c r="G31" s="50">
        <f t="shared" si="4"/>
        <v>804639.65951775829</v>
      </c>
      <c r="H31" s="50">
        <f t="shared" si="4"/>
        <v>931489.00443999912</v>
      </c>
      <c r="I31" s="50">
        <f t="shared" si="4"/>
        <v>1062143.8297099059</v>
      </c>
      <c r="J31" s="50">
        <f t="shared" si="4"/>
        <v>1196718.2997379114</v>
      </c>
      <c r="K31" s="50">
        <f t="shared" si="4"/>
        <v>1335330.0038667552</v>
      </c>
      <c r="L31" s="50">
        <f t="shared" si="4"/>
        <v>1478100.0591194655</v>
      </c>
      <c r="M31" s="50">
        <f t="shared" si="4"/>
        <v>1625153.2160297583</v>
      </c>
      <c r="N31" s="50">
        <f>N21-N23+N29</f>
        <v>1776617.9676473567</v>
      </c>
      <c r="O31" s="50">
        <f>O21-O23+O29</f>
        <v>12739226.439998168</v>
      </c>
    </row>
    <row r="33" spans="2:15" x14ac:dyDescent="0.25">
      <c r="B33" s="51" t="s">
        <v>161</v>
      </c>
      <c r="C33" s="92">
        <v>0</v>
      </c>
    </row>
    <row r="35" spans="2:15" x14ac:dyDescent="0.25">
      <c r="B35" s="51" t="s">
        <v>142</v>
      </c>
      <c r="C35" s="50">
        <f>$C$33+C31</f>
        <v>839800</v>
      </c>
      <c r="D35" s="50">
        <f>C35+D31</f>
        <v>1285632.1621097594</v>
      </c>
      <c r="E35" s="50">
        <f>D35+E31</f>
        <v>1847549.4442195189</v>
      </c>
      <c r="F35" s="50">
        <f>E35+F31</f>
        <v>2529034.3999292776</v>
      </c>
      <c r="G35" s="50">
        <f>F35+G31</f>
        <v>3333674.0594470361</v>
      </c>
      <c r="H35" s="50">
        <f t="shared" ref="H35:L35" si="5">G35+H31</f>
        <v>4265163.0638870355</v>
      </c>
      <c r="I35" s="50">
        <f t="shared" si="5"/>
        <v>5327306.8935969416</v>
      </c>
      <c r="J35" s="50">
        <f t="shared" si="5"/>
        <v>6524025.1933348533</v>
      </c>
      <c r="K35" s="50">
        <f t="shared" si="5"/>
        <v>7859355.1972016087</v>
      </c>
      <c r="L35" s="50">
        <f t="shared" si="5"/>
        <v>9337455.2563210744</v>
      </c>
      <c r="M35" s="50">
        <f>L35+M31</f>
        <v>10962608.472350832</v>
      </c>
      <c r="N35" s="50">
        <f>M35+N31</f>
        <v>12739226.439998189</v>
      </c>
      <c r="O35" s="50">
        <f>N35+N31+133710</f>
        <v>14649554.407645546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0"/>
  <sheetViews>
    <sheetView topLeftCell="A3" workbookViewId="0">
      <selection activeCell="J21" sqref="J21"/>
    </sheetView>
  </sheetViews>
  <sheetFormatPr baseColWidth="10" defaultRowHeight="15" x14ac:dyDescent="0.25"/>
  <cols>
    <col min="1" max="1" width="11.42578125" style="50"/>
    <col min="2" max="2" width="25.28515625" style="50" bestFit="1" customWidth="1"/>
    <col min="3" max="3" width="14.140625" style="50" bestFit="1" customWidth="1"/>
    <col min="4" max="4" width="12.28515625" style="50" bestFit="1" customWidth="1"/>
    <col min="5" max="5" width="13.28515625" style="50" bestFit="1" customWidth="1"/>
    <col min="6" max="7" width="12.5703125" style="50" bestFit="1" customWidth="1"/>
    <col min="8" max="16384" width="11.42578125" style="50"/>
  </cols>
  <sheetData>
    <row r="2" spans="2:9" x14ac:dyDescent="0.25">
      <c r="I2" s="51" t="s">
        <v>0</v>
      </c>
    </row>
    <row r="5" spans="2:9" x14ac:dyDescent="0.25">
      <c r="B5" s="107" t="s">
        <v>143</v>
      </c>
      <c r="C5" s="108" t="s">
        <v>33</v>
      </c>
      <c r="D5" s="108" t="s">
        <v>34</v>
      </c>
      <c r="E5" s="108" t="s">
        <v>35</v>
      </c>
      <c r="F5" s="108" t="s">
        <v>36</v>
      </c>
      <c r="G5" s="108" t="s">
        <v>37</v>
      </c>
    </row>
    <row r="6" spans="2:9" x14ac:dyDescent="0.25">
      <c r="B6" s="29" t="s">
        <v>144</v>
      </c>
      <c r="C6" s="29">
        <f>'FLUJO MES'!O6</f>
        <v>90828989.193851501</v>
      </c>
      <c r="D6" s="29">
        <f>VENTAS!C26*COBRANZAS!$P$15+VENTAS!D26*(1-COBRANZAS!$P$15)</f>
        <v>96278728.545482606</v>
      </c>
      <c r="E6" s="29">
        <f>VENTAS!D26*COBRANZAS!$P$15+VENTAS!E26*(1-COBRANZAS!$P$15)</f>
        <v>102055452.25821157</v>
      </c>
      <c r="F6" s="29">
        <f>VENTAS!E26*COBRANZAS!$P$15+VENTAS!F26*(1-COBRANZAS!$P$15)</f>
        <v>108178779.39370427</v>
      </c>
      <c r="G6" s="29">
        <f>VENTAS!F26*COBRANZAS!$P$15+VENTAS!G26*(1-COBRANZAS!$P$15)</f>
        <v>114669506.15732652</v>
      </c>
    </row>
    <row r="7" spans="2:9" x14ac:dyDescent="0.25">
      <c r="B7" s="29"/>
      <c r="C7" s="29"/>
      <c r="D7" s="29"/>
      <c r="E7" s="29"/>
      <c r="F7" s="29"/>
      <c r="G7" s="29"/>
    </row>
    <row r="8" spans="2:9" x14ac:dyDescent="0.25">
      <c r="B8" s="29" t="s">
        <v>162</v>
      </c>
      <c r="C8" s="29">
        <f>'FLUJO MES'!O8</f>
        <v>18619942.784739561</v>
      </c>
      <c r="D8" s="29">
        <f>BALANCE!F5+GASTOS!D14*(1-COBRANZAS!P15)</f>
        <v>19737139.351823933</v>
      </c>
      <c r="E8" s="29">
        <f>GASTOS!D14*COBRANZAS!$P$15+GASTOS!E14*(1-COBRANZAS!$P$15)</f>
        <v>20921367.712933373</v>
      </c>
      <c r="F8" s="29">
        <f>GASTOS!E14*COBRANZAS!$P$15+GASTOS!F14*(1-COBRANZAS!$P$15)</f>
        <v>22176649.775709372</v>
      </c>
      <c r="G8" s="29">
        <f>GASTOS!F14*COBRANZAS!$P$15+GASTOS!G14*(1-COBRANZAS!$P$15)</f>
        <v>23507248.762251936</v>
      </c>
    </row>
    <row r="9" spans="2:9" x14ac:dyDescent="0.25">
      <c r="B9" s="29" t="s">
        <v>163</v>
      </c>
      <c r="C9" s="29">
        <f>'FLUJO MES'!O14</f>
        <v>29004000</v>
      </c>
      <c r="D9" s="29">
        <f>SUM(GASTOS!D35:D37)</f>
        <v>31034280</v>
      </c>
      <c r="E9" s="29">
        <f>SUM(GASTOS!E35:E37)</f>
        <v>33206679.600000001</v>
      </c>
      <c r="F9" s="29">
        <f>SUM(GASTOS!F35:F37)</f>
        <v>35531147.172000006</v>
      </c>
      <c r="G9" s="29">
        <f>SUM(GASTOS!G35:G37)</f>
        <v>38018327.474040002</v>
      </c>
    </row>
    <row r="10" spans="2:9" x14ac:dyDescent="0.25">
      <c r="B10" s="29" t="s">
        <v>164</v>
      </c>
      <c r="C10" s="29">
        <f>'FLUJO MES'!O16</f>
        <v>18165797.8387703</v>
      </c>
      <c r="D10" s="29">
        <f>GASTOS!C15</f>
        <v>18165797.8387703</v>
      </c>
      <c r="E10" s="29">
        <f>GASTOS!D15</f>
        <v>19255745.709096521</v>
      </c>
      <c r="F10" s="29">
        <f>GASTOS!E15</f>
        <v>20411090.451642316</v>
      </c>
      <c r="G10" s="29">
        <f>GASTOS!F15</f>
        <v>21635755.878740851</v>
      </c>
    </row>
    <row r="11" spans="2:9" x14ac:dyDescent="0.25">
      <c r="B11" s="29" t="s">
        <v>165</v>
      </c>
      <c r="C11" s="29">
        <f>'FLUJO MES'!O17</f>
        <v>6726631.913550809</v>
      </c>
      <c r="D11" s="29">
        <f>SUM(GASTOS!C38:C42)</f>
        <v>6726631.9135508118</v>
      </c>
      <c r="E11" s="29">
        <f>SUM(GASTOS!D38:D42)</f>
        <v>7197496.1474993685</v>
      </c>
      <c r="F11" s="29">
        <f>SUM(GASTOS!E38:E42)</f>
        <v>7701320.8778243242</v>
      </c>
      <c r="G11" s="29">
        <f>SUM(GASTOS!F38:F42)</f>
        <v>8240413.3392720278</v>
      </c>
    </row>
    <row r="12" spans="2:9" x14ac:dyDescent="0.25">
      <c r="B12" s="29" t="s">
        <v>166</v>
      </c>
      <c r="C12" s="29"/>
      <c r="D12" s="29">
        <f>RESULTADO!B26</f>
        <v>4980863.8466988802</v>
      </c>
      <c r="E12" s="29">
        <f>RESULTADO!C26</f>
        <v>5427019.487109079</v>
      </c>
      <c r="F12" s="29">
        <f>RESULTADO!D26</f>
        <v>5907808.8432454895</v>
      </c>
      <c r="G12" s="29">
        <f>RESULTADO!E26</f>
        <v>6301288.365234063</v>
      </c>
    </row>
    <row r="13" spans="2:9" x14ac:dyDescent="0.25">
      <c r="B13" s="29"/>
      <c r="C13" s="29"/>
      <c r="D13" s="29"/>
      <c r="E13" s="29"/>
      <c r="F13" s="29"/>
      <c r="G13" s="29"/>
    </row>
    <row r="14" spans="2:9" x14ac:dyDescent="0.25">
      <c r="B14" s="33" t="s">
        <v>152</v>
      </c>
      <c r="C14" s="33">
        <f>SUM(C8:C13)</f>
        <v>72516372.537060678</v>
      </c>
      <c r="D14" s="33">
        <f>SUM(D8:D12)</f>
        <v>80644712.950843915</v>
      </c>
      <c r="E14" s="33">
        <f>SUM(E8:E12)</f>
        <v>86008308.656638339</v>
      </c>
      <c r="F14" s="33">
        <f t="shared" ref="F14:G14" si="0">SUM(F8:F12)</f>
        <v>91728017.120421514</v>
      </c>
      <c r="G14" s="33">
        <f t="shared" si="0"/>
        <v>97703033.819538876</v>
      </c>
    </row>
    <row r="15" spans="2:9" x14ac:dyDescent="0.25">
      <c r="B15" s="29"/>
      <c r="C15" s="29"/>
      <c r="D15" s="29"/>
      <c r="E15" s="29"/>
      <c r="F15" s="29"/>
      <c r="G15" s="29"/>
    </row>
    <row r="16" spans="2:9" x14ac:dyDescent="0.25">
      <c r="B16" s="29" t="s">
        <v>153</v>
      </c>
      <c r="C16" s="29">
        <f>C6-C14</f>
        <v>18312616.656790823</v>
      </c>
      <c r="D16" s="29">
        <f>D6-D14</f>
        <v>15634015.59463869</v>
      </c>
      <c r="E16" s="29">
        <f>E6-E14</f>
        <v>16047143.601573229</v>
      </c>
      <c r="F16" s="29">
        <f t="shared" ref="F16:G16" si="1">F6-F14</f>
        <v>16450762.273282751</v>
      </c>
      <c r="G16" s="29">
        <f t="shared" si="1"/>
        <v>16966472.337787643</v>
      </c>
    </row>
    <row r="17" spans="2:7" x14ac:dyDescent="0.25">
      <c r="B17" s="29"/>
      <c r="C17" s="29"/>
      <c r="D17" s="29"/>
      <c r="E17" s="29"/>
      <c r="F17" s="29"/>
      <c r="G17" s="29"/>
    </row>
    <row r="18" spans="2:7" x14ac:dyDescent="0.25">
      <c r="B18" s="29" t="s">
        <v>155</v>
      </c>
      <c r="C18" s="29">
        <f>'FLUJO MES'!C23</f>
        <v>15000000</v>
      </c>
      <c r="D18" s="29"/>
      <c r="E18" s="29"/>
      <c r="F18" s="29"/>
      <c r="G18" s="29"/>
    </row>
    <row r="19" spans="2:7" x14ac:dyDescent="0.25">
      <c r="B19" s="29"/>
      <c r="C19" s="29"/>
      <c r="D19" s="29"/>
      <c r="E19" s="29"/>
      <c r="F19" s="29"/>
      <c r="G19" s="29"/>
    </row>
    <row r="20" spans="2:7" x14ac:dyDescent="0.25">
      <c r="B20" s="109" t="s">
        <v>167</v>
      </c>
      <c r="C20" s="29"/>
      <c r="D20" s="29"/>
      <c r="E20" s="29"/>
      <c r="F20" s="29"/>
      <c r="G20" s="29"/>
    </row>
    <row r="21" spans="2:7" x14ac:dyDescent="0.25">
      <c r="B21" s="29"/>
      <c r="C21" s="29"/>
      <c r="D21" s="29"/>
      <c r="E21" s="29"/>
      <c r="F21" s="29"/>
      <c r="G21" s="29"/>
    </row>
    <row r="22" spans="2:7" x14ac:dyDescent="0.25">
      <c r="B22" s="29" t="s">
        <v>168</v>
      </c>
      <c r="C22" s="29">
        <f>'FLUJO MES'!O27</f>
        <v>15000000</v>
      </c>
      <c r="D22" s="29"/>
      <c r="E22" s="29"/>
      <c r="F22" s="29"/>
      <c r="G22" s="29"/>
    </row>
    <row r="23" spans="2:7" x14ac:dyDescent="0.25">
      <c r="B23" s="29" t="s">
        <v>169</v>
      </c>
      <c r="C23" s="29">
        <f>'FLUJO MES'!O28</f>
        <v>-5573390.2167926449</v>
      </c>
      <c r="D23" s="29">
        <f>-SUM(PRESTAMO!E21:E32)</f>
        <v>-6080062.0546828853</v>
      </c>
      <c r="E23" s="29">
        <f>-SUM(PRESTAMO!E34:E45)</f>
        <v>-6080062.0546828853</v>
      </c>
      <c r="F23" s="29">
        <v>0</v>
      </c>
      <c r="G23" s="29">
        <v>0</v>
      </c>
    </row>
    <row r="24" spans="2:7" x14ac:dyDescent="0.25">
      <c r="B24" s="33" t="s">
        <v>159</v>
      </c>
      <c r="C24" s="33">
        <f>C22+C23</f>
        <v>9426609.7832073551</v>
      </c>
      <c r="D24" s="33">
        <f>D23</f>
        <v>-6080062.0546828853</v>
      </c>
      <c r="E24" s="33">
        <f>E23</f>
        <v>-6080062.0546828853</v>
      </c>
      <c r="F24" s="33">
        <f t="shared" ref="F24:G24" si="2">F23</f>
        <v>0</v>
      </c>
      <c r="G24" s="33">
        <f t="shared" si="2"/>
        <v>0</v>
      </c>
    </row>
    <row r="25" spans="2:7" x14ac:dyDescent="0.25">
      <c r="B25" s="29"/>
      <c r="C25" s="29"/>
      <c r="D25" s="29"/>
      <c r="E25" s="29"/>
      <c r="F25" s="29"/>
      <c r="G25" s="29"/>
    </row>
    <row r="26" spans="2:7" x14ac:dyDescent="0.25">
      <c r="B26" s="33" t="s">
        <v>170</v>
      </c>
      <c r="C26" s="33">
        <f>C16-C18+C24</f>
        <v>12739226.439998178</v>
      </c>
      <c r="D26" s="33">
        <f>D16-D18+D23</f>
        <v>9553953.539955806</v>
      </c>
      <c r="E26" s="33">
        <f t="shared" ref="E26:G26" si="3">E16-E18+E23</f>
        <v>9967081.5468903445</v>
      </c>
      <c r="F26" s="33">
        <f t="shared" si="3"/>
        <v>16450762.273282751</v>
      </c>
      <c r="G26" s="33">
        <f t="shared" si="3"/>
        <v>16966472.337787643</v>
      </c>
    </row>
    <row r="27" spans="2:7" x14ac:dyDescent="0.25">
      <c r="B27" s="29"/>
      <c r="C27" s="29"/>
      <c r="D27" s="29"/>
      <c r="E27" s="29"/>
      <c r="F27" s="29"/>
      <c r="G27" s="29"/>
    </row>
    <row r="28" spans="2:7" x14ac:dyDescent="0.25">
      <c r="B28" s="33" t="s">
        <v>161</v>
      </c>
      <c r="C28" s="33">
        <f>'FLUJO MES'!C33</f>
        <v>0</v>
      </c>
      <c r="D28" s="29"/>
      <c r="E28" s="29"/>
      <c r="F28" s="29"/>
      <c r="G28" s="29"/>
    </row>
    <row r="29" spans="2:7" x14ac:dyDescent="0.25">
      <c r="B29" s="29"/>
      <c r="C29" s="29"/>
      <c r="D29" s="29"/>
      <c r="E29" s="29"/>
      <c r="F29" s="29"/>
      <c r="G29" s="29"/>
    </row>
    <row r="30" spans="2:7" ht="15.75" thickBot="1" x14ac:dyDescent="0.3">
      <c r="B30" s="36" t="s">
        <v>142</v>
      </c>
      <c r="C30" s="36">
        <f>C26+C28</f>
        <v>12739226.439998178</v>
      </c>
      <c r="D30" s="36">
        <f>D26+C30</f>
        <v>22293179.979953982</v>
      </c>
      <c r="E30" s="36">
        <f>E26+D30</f>
        <v>32260261.526844326</v>
      </c>
      <c r="F30" s="36">
        <f t="shared" ref="F30:G30" si="4">F26+E30</f>
        <v>48711023.800127074</v>
      </c>
      <c r="G30" s="36">
        <f t="shared" si="4"/>
        <v>65677496.137914717</v>
      </c>
    </row>
  </sheetData>
  <pageMargins left="0.7" right="0.7" top="0.75" bottom="0.75" header="0.3" footer="0.3"/>
  <pageSetup paperSize="0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17"/>
  <sheetViews>
    <sheetView workbookViewId="0">
      <selection activeCell="F26" sqref="F26"/>
    </sheetView>
  </sheetViews>
  <sheetFormatPr baseColWidth="10" defaultRowHeight="15" x14ac:dyDescent="0.25"/>
  <cols>
    <col min="1" max="1" width="11.42578125" style="3"/>
    <col min="2" max="2" width="27.42578125" style="3" bestFit="1" customWidth="1"/>
    <col min="3" max="3" width="14.85546875" style="3" bestFit="1" customWidth="1"/>
    <col min="4" max="5" width="11.5703125" style="3" bestFit="1" customWidth="1"/>
    <col min="6" max="8" width="12.5703125" style="3" bestFit="1" customWidth="1"/>
    <col min="9" max="9" width="14.140625" style="3" bestFit="1" customWidth="1"/>
    <col min="10" max="16384" width="11.42578125" style="3"/>
  </cols>
  <sheetData>
    <row r="2" spans="2:9" x14ac:dyDescent="0.25">
      <c r="E2" s="4" t="s">
        <v>0</v>
      </c>
    </row>
    <row r="4" spans="2:9" x14ac:dyDescent="0.25">
      <c r="B4" s="4" t="s">
        <v>222</v>
      </c>
      <c r="C4" s="140">
        <v>0.3</v>
      </c>
    </row>
    <row r="6" spans="2:9" x14ac:dyDescent="0.25">
      <c r="B6" s="52" t="s">
        <v>203</v>
      </c>
      <c r="C6" s="52" t="s">
        <v>207</v>
      </c>
      <c r="D6" s="6" t="s">
        <v>33</v>
      </c>
      <c r="E6" s="53" t="s">
        <v>34</v>
      </c>
      <c r="F6" s="53" t="s">
        <v>35</v>
      </c>
      <c r="G6" s="53" t="s">
        <v>36</v>
      </c>
      <c r="H6" s="53" t="s">
        <v>37</v>
      </c>
    </row>
    <row r="7" spans="2:9" x14ac:dyDescent="0.25">
      <c r="B7" s="8" t="s">
        <v>204</v>
      </c>
      <c r="C7" s="8"/>
      <c r="D7" s="29">
        <f>'FLUJO MES'!O6</f>
        <v>90828989.193851501</v>
      </c>
      <c r="E7" s="29">
        <f>VENTAS!C26*COBRANZAS!$P$15+VENTAS!D26*(1-COBRANZAS!$P$15)</f>
        <v>96278728.545482606</v>
      </c>
      <c r="F7" s="29">
        <f>VENTAS!D26*COBRANZAS!$P$15+VENTAS!E26*(1-COBRANZAS!$P$15)</f>
        <v>102055452.25821157</v>
      </c>
      <c r="G7" s="29">
        <f>VENTAS!E26*COBRANZAS!$P$15+VENTAS!F26*(1-COBRANZAS!$P$15)</f>
        <v>108178779.39370427</v>
      </c>
      <c r="H7" s="29">
        <f>VENTAS!F26*COBRANZAS!$P$15+VENTAS!G26*(1-COBRANZAS!$P$15)</f>
        <v>114669506.15732652</v>
      </c>
    </row>
    <row r="8" spans="2:9" x14ac:dyDescent="0.25">
      <c r="B8" s="8" t="s">
        <v>205</v>
      </c>
      <c r="C8" s="8"/>
      <c r="D8" s="29">
        <f>'FLUJO 5 AÑOS'!C14</f>
        <v>72516372.537060678</v>
      </c>
      <c r="E8" s="29">
        <f>'FLUJO 5 AÑOS'!D14</f>
        <v>80644712.950843915</v>
      </c>
      <c r="F8" s="29">
        <f>'FLUJO 5 AÑOS'!E14</f>
        <v>86008308.656638339</v>
      </c>
      <c r="G8" s="29">
        <f>'FLUJO 5 AÑOS'!F14</f>
        <v>91728017.120421514</v>
      </c>
      <c r="H8" s="29">
        <f>'FLUJO 5 AÑOS'!G14</f>
        <v>97703033.819538876</v>
      </c>
    </row>
    <row r="9" spans="2:9" x14ac:dyDescent="0.25">
      <c r="B9" s="8"/>
      <c r="C9" s="8"/>
      <c r="D9" s="8"/>
      <c r="E9" s="8"/>
      <c r="F9" s="8"/>
      <c r="G9" s="8"/>
      <c r="H9" s="8"/>
    </row>
    <row r="10" spans="2:9" ht="15.75" thickBot="1" x14ac:dyDescent="0.3">
      <c r="B10" s="8" t="s">
        <v>206</v>
      </c>
      <c r="C10" s="29">
        <f>-'FLUJO 5 AÑOS'!C18</f>
        <v>-15000000</v>
      </c>
      <c r="D10" s="8"/>
      <c r="E10" s="8"/>
      <c r="F10" s="8"/>
      <c r="G10" s="8"/>
      <c r="H10" s="8"/>
    </row>
    <row r="11" spans="2:9" x14ac:dyDescent="0.25">
      <c r="B11" s="8"/>
      <c r="C11" s="8"/>
      <c r="D11" s="8"/>
      <c r="E11" s="8"/>
      <c r="F11" s="8"/>
      <c r="G11" s="8"/>
      <c r="H11" s="110"/>
      <c r="I11" s="23" t="s">
        <v>31</v>
      </c>
    </row>
    <row r="12" spans="2:9" ht="15.75" thickBot="1" x14ac:dyDescent="0.3">
      <c r="B12" s="32" t="s">
        <v>219</v>
      </c>
      <c r="C12" s="32">
        <f>C10</f>
        <v>-15000000</v>
      </c>
      <c r="D12" s="33">
        <f>D7-D8</f>
        <v>18312616.656790823</v>
      </c>
      <c r="E12" s="33">
        <f t="shared" ref="E12:H12" si="0">E7-E8</f>
        <v>15634015.59463869</v>
      </c>
      <c r="F12" s="33">
        <f>F7-F8</f>
        <v>16047143.601573229</v>
      </c>
      <c r="G12" s="33">
        <f t="shared" si="0"/>
        <v>16450762.273282751</v>
      </c>
      <c r="H12" s="33">
        <f t="shared" si="0"/>
        <v>16966472.337787643</v>
      </c>
      <c r="I12" s="112">
        <f>SUM(C12:H12)</f>
        <v>68411010.464073136</v>
      </c>
    </row>
    <row r="13" spans="2:9" ht="15.75" thickTop="1" x14ac:dyDescent="0.25"/>
    <row r="14" spans="2:9" x14ac:dyDescent="0.25">
      <c r="B14" s="4" t="s">
        <v>208</v>
      </c>
      <c r="C14" s="111">
        <f>IRR(C12:I12)</f>
        <v>1.1760746169071838</v>
      </c>
    </row>
    <row r="15" spans="2:9" x14ac:dyDescent="0.25">
      <c r="B15" s="4" t="s">
        <v>209</v>
      </c>
      <c r="C15" s="51">
        <f>-C12+NPV(C4,C12:I12)</f>
        <v>45880160.552805915</v>
      </c>
    </row>
    <row r="16" spans="2:9" x14ac:dyDescent="0.25">
      <c r="B16" s="137" t="s">
        <v>220</v>
      </c>
      <c r="C16" s="139">
        <f>(C15/5)/-C12</f>
        <v>0.61173547403741213</v>
      </c>
    </row>
    <row r="17" spans="5:5" x14ac:dyDescent="0.25">
      <c r="E17" s="55"/>
    </row>
  </sheetData>
  <pageMargins left="0.7" right="0.7" top="0.75" bottom="0.75" header="0.3" footer="0.3"/>
  <pageSetup paperSize="0" orientation="portrait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2:H21"/>
  <sheetViews>
    <sheetView workbookViewId="0">
      <selection activeCell="G1" sqref="G1"/>
    </sheetView>
  </sheetViews>
  <sheetFormatPr baseColWidth="10" defaultRowHeight="15" x14ac:dyDescent="0.25"/>
  <cols>
    <col min="3" max="3" width="23.42578125" bestFit="1" customWidth="1"/>
    <col min="4" max="4" width="14.140625" style="94" bestFit="1" customWidth="1"/>
    <col min="5" max="5" width="18.140625" bestFit="1" customWidth="1"/>
    <col min="6" max="6" width="11.42578125" style="94"/>
  </cols>
  <sheetData>
    <row r="2" spans="3:8" x14ac:dyDescent="0.25">
      <c r="H2" s="51" t="s">
        <v>0</v>
      </c>
    </row>
    <row r="4" spans="3:8" x14ac:dyDescent="0.25">
      <c r="C4" s="26" t="s">
        <v>178</v>
      </c>
      <c r="D4" s="96"/>
      <c r="E4" s="26" t="s">
        <v>188</v>
      </c>
      <c r="F4" s="96"/>
    </row>
    <row r="5" spans="3:8" x14ac:dyDescent="0.25">
      <c r="C5" s="25" t="s">
        <v>179</v>
      </c>
      <c r="D5" s="96">
        <f>'FLUJO MES'!O35</f>
        <v>14649554.407645546</v>
      </c>
      <c r="E5" s="25" t="s">
        <v>189</v>
      </c>
      <c r="F5" s="96">
        <f>PAGOS!Q14</f>
        <v>0</v>
      </c>
    </row>
    <row r="6" spans="3:8" x14ac:dyDescent="0.25">
      <c r="C6" s="25" t="s">
        <v>180</v>
      </c>
      <c r="D6" s="96">
        <f>COBRANZAS!P15</f>
        <v>0</v>
      </c>
      <c r="E6" s="25" t="s">
        <v>146</v>
      </c>
      <c r="F6" s="96">
        <f>SUM(GASTOS!N22:N24)</f>
        <v>2417000</v>
      </c>
    </row>
    <row r="7" spans="3:8" x14ac:dyDescent="0.25">
      <c r="C7" s="25" t="s">
        <v>181</v>
      </c>
      <c r="D7" s="96">
        <f>PRODUCCION!F18</f>
        <v>0</v>
      </c>
      <c r="E7" s="25" t="s">
        <v>190</v>
      </c>
      <c r="F7" s="96">
        <f>RESULTADO!B26</f>
        <v>4980863.8466988802</v>
      </c>
    </row>
    <row r="8" spans="3:8" ht="15.75" thickBot="1" x14ac:dyDescent="0.3">
      <c r="C8" s="99" t="s">
        <v>182</v>
      </c>
      <c r="D8" s="100">
        <f>COMPRAS!F33</f>
        <v>0</v>
      </c>
      <c r="E8" s="26" t="s">
        <v>191</v>
      </c>
      <c r="F8" s="96">
        <f>SUM(F6:F7)</f>
        <v>7397863.8466988802</v>
      </c>
    </row>
    <row r="9" spans="3:8" ht="15.75" thickBot="1" x14ac:dyDescent="0.3">
      <c r="C9" s="103" t="s">
        <v>183</v>
      </c>
      <c r="D9" s="106">
        <f>SUM(D5:D8)</f>
        <v>14649554.407645546</v>
      </c>
      <c r="E9" s="98"/>
      <c r="F9" s="96"/>
    </row>
    <row r="10" spans="3:8" x14ac:dyDescent="0.25">
      <c r="C10" s="101"/>
      <c r="D10" s="102"/>
      <c r="E10" s="25" t="s">
        <v>192</v>
      </c>
      <c r="F10" s="96">
        <f>PRESTAMO!F21</f>
        <v>10639027.793929528</v>
      </c>
    </row>
    <row r="11" spans="3:8" x14ac:dyDescent="0.25">
      <c r="C11" s="25"/>
      <c r="D11" s="96"/>
      <c r="E11" s="26" t="s">
        <v>193</v>
      </c>
      <c r="F11" s="96"/>
    </row>
    <row r="12" spans="3:8" x14ac:dyDescent="0.25">
      <c r="C12" s="25"/>
      <c r="D12" s="96"/>
      <c r="E12" s="25"/>
      <c r="F12" s="96"/>
    </row>
    <row r="13" spans="3:8" x14ac:dyDescent="0.25">
      <c r="C13" s="25"/>
      <c r="D13" s="96"/>
      <c r="E13" s="26" t="s">
        <v>194</v>
      </c>
      <c r="F13" s="96">
        <f>F8+F10</f>
        <v>18036891.640628409</v>
      </c>
    </row>
    <row r="14" spans="3:8" x14ac:dyDescent="0.25">
      <c r="C14" s="25"/>
      <c r="D14" s="96"/>
      <c r="E14" s="25"/>
      <c r="F14" s="96"/>
    </row>
    <row r="15" spans="3:8" x14ac:dyDescent="0.25">
      <c r="C15" s="25" t="s">
        <v>184</v>
      </c>
      <c r="D15" s="96">
        <f>INVERSIONES!E9</f>
        <v>15000000</v>
      </c>
      <c r="E15" s="26" t="s">
        <v>195</v>
      </c>
      <c r="F15" s="96"/>
    </row>
    <row r="16" spans="3:8" x14ac:dyDescent="0.25">
      <c r="C16" s="25" t="s">
        <v>185</v>
      </c>
      <c r="D16" s="96">
        <f>-GASTOS!O9</f>
        <v>-1500000</v>
      </c>
      <c r="E16" s="25" t="s">
        <v>196</v>
      </c>
      <c r="F16" s="96">
        <f>'FLUJO MES'!C33</f>
        <v>0</v>
      </c>
    </row>
    <row r="17" spans="3:8" ht="15.75" thickBot="1" x14ac:dyDescent="0.3">
      <c r="C17" s="104" t="s">
        <v>186</v>
      </c>
      <c r="D17" s="105">
        <f>SUM(D15+D16)</f>
        <v>13500000</v>
      </c>
      <c r="E17" s="25" t="s">
        <v>197</v>
      </c>
      <c r="F17" s="96">
        <f>RESULTADO!B27</f>
        <v>10112662.961479545</v>
      </c>
    </row>
    <row r="18" spans="3:8" x14ac:dyDescent="0.25">
      <c r="C18" s="101"/>
      <c r="D18" s="102"/>
      <c r="E18" s="25"/>
      <c r="F18" s="96">
        <f>SUM(F16:F17)</f>
        <v>10112662.961479545</v>
      </c>
    </row>
    <row r="19" spans="3:8" ht="15.75" thickBot="1" x14ac:dyDescent="0.3">
      <c r="C19" s="104" t="s">
        <v>187</v>
      </c>
      <c r="D19" s="105">
        <f>D9+D17</f>
        <v>28149554.407645546</v>
      </c>
      <c r="E19" s="104" t="s">
        <v>198</v>
      </c>
      <c r="F19" s="105">
        <f>F13+F18</f>
        <v>28149554.602107953</v>
      </c>
      <c r="H19" s="97"/>
    </row>
    <row r="21" spans="3:8" x14ac:dyDescent="0.25">
      <c r="G21" s="97">
        <f>F19-D19</f>
        <v>0.19446240738034248</v>
      </c>
    </row>
  </sheetData>
  <pageMargins left="0.7" right="0.7" top="0.75" bottom="0.75" header="0.3" footer="0.3"/>
  <pageSetup paperSize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P25"/>
  <sheetViews>
    <sheetView topLeftCell="C7" workbookViewId="0">
      <selection activeCell="O28" sqref="O28"/>
    </sheetView>
  </sheetViews>
  <sheetFormatPr baseColWidth="10" defaultRowHeight="15" x14ac:dyDescent="0.25"/>
  <cols>
    <col min="1" max="3" width="11.42578125" style="3"/>
    <col min="4" max="4" width="3.5703125" style="3" customWidth="1"/>
    <col min="5" max="5" width="40" style="3" bestFit="1" customWidth="1"/>
    <col min="6" max="6" width="10.140625" style="3" customWidth="1"/>
    <col min="7" max="7" width="11.42578125" style="3"/>
    <col min="8" max="8" width="13.85546875" style="3" customWidth="1"/>
    <col min="9" max="9" width="14.85546875" style="3" customWidth="1"/>
    <col min="10" max="10" width="13.7109375" style="3" bestFit="1" customWidth="1"/>
    <col min="11" max="16384" width="11.42578125" style="3"/>
  </cols>
  <sheetData>
    <row r="4" spans="4:15" x14ac:dyDescent="0.25">
      <c r="I4" s="4" t="s">
        <v>0</v>
      </c>
    </row>
    <row r="7" spans="4:15" x14ac:dyDescent="0.25">
      <c r="D7" s="4" t="s">
        <v>7</v>
      </c>
      <c r="E7" s="4"/>
      <c r="F7" s="4"/>
    </row>
    <row r="8" spans="4:15" ht="15.75" thickBot="1" x14ac:dyDescent="0.3"/>
    <row r="9" spans="4:15" ht="45.75" thickBot="1" x14ac:dyDescent="0.3">
      <c r="D9" s="10" t="s">
        <v>1</v>
      </c>
      <c r="E9" s="11" t="s">
        <v>2</v>
      </c>
      <c r="F9" s="11" t="s">
        <v>3</v>
      </c>
      <c r="G9" s="11" t="s">
        <v>4</v>
      </c>
      <c r="H9" s="14" t="s">
        <v>5</v>
      </c>
      <c r="I9" s="12" t="s">
        <v>6</v>
      </c>
    </row>
    <row r="10" spans="4:15" x14ac:dyDescent="0.25">
      <c r="D10" s="15">
        <v>1</v>
      </c>
      <c r="E10" s="13" t="s">
        <v>17</v>
      </c>
      <c r="F10" s="15">
        <v>1</v>
      </c>
      <c r="G10" s="13">
        <v>20000</v>
      </c>
      <c r="H10" s="13">
        <v>1</v>
      </c>
      <c r="I10" s="13">
        <v>1</v>
      </c>
    </row>
    <row r="11" spans="4:15" x14ac:dyDescent="0.25">
      <c r="D11" s="1"/>
      <c r="E11" s="1"/>
      <c r="F11" s="1"/>
      <c r="G11" s="1"/>
      <c r="H11" s="1"/>
      <c r="I11" s="1"/>
    </row>
    <row r="12" spans="4:15" x14ac:dyDescent="0.25">
      <c r="D12" s="1"/>
      <c r="E12" s="1"/>
      <c r="F12" s="1"/>
      <c r="G12" s="1"/>
      <c r="H12" s="1"/>
      <c r="I12" s="1"/>
      <c r="M12" s="144" t="s">
        <v>214</v>
      </c>
      <c r="N12" s="144"/>
      <c r="O12" s="144"/>
    </row>
    <row r="13" spans="4:15" x14ac:dyDescent="0.25">
      <c r="D13" s="3" t="s">
        <v>8</v>
      </c>
      <c r="M13" s="144"/>
      <c r="N13" s="144"/>
      <c r="O13" s="144"/>
    </row>
    <row r="14" spans="4:15" x14ac:dyDescent="0.25">
      <c r="M14" s="144"/>
      <c r="N14" s="144"/>
      <c r="O14" s="144"/>
    </row>
    <row r="15" spans="4:15" ht="15.75" thickBot="1" x14ac:dyDescent="0.3">
      <c r="M15" s="144"/>
      <c r="N15" s="144"/>
      <c r="O15" s="144"/>
    </row>
    <row r="16" spans="4:15" ht="45.75" thickBot="1" x14ac:dyDescent="0.3">
      <c r="D16" s="10" t="s">
        <v>1</v>
      </c>
      <c r="E16" s="11" t="s">
        <v>2</v>
      </c>
      <c r="F16" s="11" t="s">
        <v>3</v>
      </c>
      <c r="G16" s="11" t="s">
        <v>9</v>
      </c>
      <c r="H16" s="12" t="s">
        <v>10</v>
      </c>
    </row>
    <row r="17" spans="4:16" x14ac:dyDescent="0.25">
      <c r="D17" s="16">
        <v>1</v>
      </c>
      <c r="E17" s="42" t="s">
        <v>50</v>
      </c>
      <c r="F17" s="9" t="s">
        <v>52</v>
      </c>
      <c r="G17" s="9">
        <v>3400</v>
      </c>
      <c r="H17" s="9" t="s">
        <v>11</v>
      </c>
    </row>
    <row r="18" spans="4:16" x14ac:dyDescent="0.25">
      <c r="D18" s="17">
        <v>2</v>
      </c>
      <c r="E18" s="32" t="s">
        <v>51</v>
      </c>
      <c r="F18" s="8" t="s">
        <v>53</v>
      </c>
      <c r="G18" s="8">
        <v>700</v>
      </c>
      <c r="H18" s="8" t="s">
        <v>12</v>
      </c>
      <c r="N18" s="144" t="s">
        <v>213</v>
      </c>
      <c r="O18" s="144"/>
      <c r="P18" s="144"/>
    </row>
    <row r="19" spans="4:16" x14ac:dyDescent="0.25">
      <c r="N19" s="144"/>
      <c r="O19" s="144"/>
      <c r="P19" s="144"/>
    </row>
    <row r="20" spans="4:16" x14ac:dyDescent="0.25">
      <c r="N20" s="144"/>
      <c r="O20" s="144"/>
      <c r="P20" s="144"/>
    </row>
    <row r="23" spans="4:16" ht="15.75" thickBot="1" x14ac:dyDescent="0.3"/>
    <row r="24" spans="4:16" ht="45" x14ac:dyDescent="0.25">
      <c r="D24" s="19" t="s">
        <v>1</v>
      </c>
      <c r="E24" s="20" t="s">
        <v>2</v>
      </c>
      <c r="F24" s="20" t="s">
        <v>3</v>
      </c>
      <c r="G24" s="20" t="s">
        <v>4</v>
      </c>
      <c r="H24" s="21" t="s">
        <v>13</v>
      </c>
      <c r="I24" s="22" t="s">
        <v>14</v>
      </c>
      <c r="J24" s="23" t="s">
        <v>15</v>
      </c>
      <c r="K24" s="23" t="s">
        <v>16</v>
      </c>
    </row>
    <row r="25" spans="4:16" x14ac:dyDescent="0.25">
      <c r="D25" s="17">
        <v>1</v>
      </c>
      <c r="E25" s="8" t="str">
        <f>E10</f>
        <v>CAFÉ GOURMET</v>
      </c>
      <c r="F25" s="17">
        <f>F10</f>
        <v>1</v>
      </c>
      <c r="G25" s="8">
        <f>G10</f>
        <v>20000</v>
      </c>
      <c r="H25" s="8">
        <f>J25+K25</f>
        <v>4100</v>
      </c>
      <c r="I25" s="56">
        <f>IF(H25=0,"",(G25-H25)/G25)</f>
        <v>0.79500000000000004</v>
      </c>
      <c r="J25" s="8">
        <f>I10*$G$17</f>
        <v>3400</v>
      </c>
      <c r="K25" s="8">
        <f>I10*$G$18</f>
        <v>700</v>
      </c>
    </row>
  </sheetData>
  <mergeCells count="2">
    <mergeCell ref="M12:O15"/>
    <mergeCell ref="N18:P20"/>
  </mergeCells>
  <pageMargins left="0.7" right="0.7" top="0.75" bottom="0.75" header="0.3" footer="0.3"/>
  <pageSetup paperSize="0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O32"/>
  <sheetViews>
    <sheetView workbookViewId="0">
      <selection activeCell="C7" sqref="C7"/>
    </sheetView>
  </sheetViews>
  <sheetFormatPr baseColWidth="10" defaultRowHeight="15" x14ac:dyDescent="0.25"/>
  <cols>
    <col min="1" max="1" width="2.7109375" style="3" customWidth="1"/>
    <col min="2" max="2" width="28.85546875" style="3" bestFit="1" customWidth="1"/>
    <col min="3" max="3" width="12.140625" style="3" customWidth="1"/>
    <col min="4" max="4" width="11.42578125" style="3" customWidth="1"/>
    <col min="5" max="7" width="12.5703125" style="3" bestFit="1" customWidth="1"/>
    <col min="8" max="8" width="10.85546875" style="3" customWidth="1"/>
    <col min="9" max="9" width="11.7109375" style="3" customWidth="1"/>
    <col min="10" max="10" width="10.5703125" style="3" customWidth="1"/>
    <col min="11" max="11" width="11" style="3" customWidth="1"/>
    <col min="12" max="14" width="10.5703125" style="3" bestFit="1" customWidth="1"/>
    <col min="15" max="15" width="11.5703125" style="3" bestFit="1" customWidth="1"/>
    <col min="16" max="16384" width="11.42578125" style="3"/>
  </cols>
  <sheetData>
    <row r="3" spans="1:15" x14ac:dyDescent="0.25">
      <c r="H3" s="3" t="str">
        <f>PRODUCTOS!I4</f>
        <v>CAFÉ TIPO GOURMET</v>
      </c>
    </row>
    <row r="5" spans="1:15" ht="15.75" thickBot="1" x14ac:dyDescent="0.3"/>
    <row r="6" spans="1:15" x14ac:dyDescent="0.25">
      <c r="A6" s="27" t="s">
        <v>1</v>
      </c>
      <c r="B6" s="28" t="s">
        <v>18</v>
      </c>
      <c r="C6" s="21" t="s">
        <v>19</v>
      </c>
      <c r="D6" s="21" t="s">
        <v>20</v>
      </c>
      <c r="E6" s="21" t="s">
        <v>21</v>
      </c>
      <c r="F6" s="21" t="s">
        <v>22</v>
      </c>
      <c r="G6" s="21" t="s">
        <v>23</v>
      </c>
      <c r="H6" s="21" t="s">
        <v>24</v>
      </c>
      <c r="I6" s="21" t="s">
        <v>25</v>
      </c>
      <c r="J6" s="21" t="s">
        <v>26</v>
      </c>
      <c r="K6" s="21" t="s">
        <v>27</v>
      </c>
      <c r="L6" s="21" t="s">
        <v>28</v>
      </c>
      <c r="M6" s="21" t="s">
        <v>29</v>
      </c>
      <c r="N6" s="21" t="s">
        <v>30</v>
      </c>
      <c r="O6" s="22" t="s">
        <v>31</v>
      </c>
    </row>
    <row r="7" spans="1:15" x14ac:dyDescent="0.25">
      <c r="A7" s="17">
        <v>1</v>
      </c>
      <c r="B7" s="8" t="str">
        <f>PRODUCTOS!E10</f>
        <v>CAFÉ GOURMET</v>
      </c>
      <c r="C7" s="29">
        <v>320</v>
      </c>
      <c r="D7" s="29">
        <f>C7+(C7*3%)</f>
        <v>329.6</v>
      </c>
      <c r="E7" s="29">
        <f t="shared" ref="E7:N7" si="0">D7+(D7*3%)</f>
        <v>339.488</v>
      </c>
      <c r="F7" s="29">
        <f t="shared" si="0"/>
        <v>349.67264</v>
      </c>
      <c r="G7" s="29">
        <f t="shared" si="0"/>
        <v>360.1628192</v>
      </c>
      <c r="H7" s="29">
        <f t="shared" si="0"/>
        <v>370.96770377600001</v>
      </c>
      <c r="I7" s="29">
        <f t="shared" si="0"/>
        <v>382.09673488928001</v>
      </c>
      <c r="J7" s="29">
        <f t="shared" si="0"/>
        <v>393.55963693595839</v>
      </c>
      <c r="K7" s="29">
        <f t="shared" si="0"/>
        <v>405.36642604403715</v>
      </c>
      <c r="L7" s="29">
        <f t="shared" si="0"/>
        <v>417.52741882535827</v>
      </c>
      <c r="M7" s="29">
        <f t="shared" si="0"/>
        <v>430.05324139011901</v>
      </c>
      <c r="N7" s="29">
        <f t="shared" si="0"/>
        <v>442.95483863182255</v>
      </c>
      <c r="O7" s="29">
        <f>SUM(C7:N7)</f>
        <v>4541.4494596925761</v>
      </c>
    </row>
    <row r="12" spans="1:15" ht="15.75" thickBot="1" x14ac:dyDescent="0.3"/>
    <row r="13" spans="1:15" x14ac:dyDescent="0.25">
      <c r="A13" s="27" t="s">
        <v>1</v>
      </c>
      <c r="B13" s="28" t="s">
        <v>32</v>
      </c>
      <c r="C13" s="21" t="s">
        <v>33</v>
      </c>
      <c r="D13" s="21" t="s">
        <v>34</v>
      </c>
      <c r="E13" s="21" t="s">
        <v>35</v>
      </c>
      <c r="F13" s="21" t="s">
        <v>36</v>
      </c>
      <c r="G13" s="21" t="s">
        <v>37</v>
      </c>
    </row>
    <row r="14" spans="1:15" x14ac:dyDescent="0.25">
      <c r="A14" s="17">
        <v>1</v>
      </c>
      <c r="B14" s="8" t="str">
        <f>B7</f>
        <v>CAFÉ GOURMET</v>
      </c>
      <c r="C14" s="29">
        <f>O7</f>
        <v>4541.4494596925761</v>
      </c>
      <c r="D14" s="29">
        <f>C14+(C14*6%)</f>
        <v>4813.9364272741304</v>
      </c>
      <c r="E14" s="29">
        <f t="shared" ref="E14:G14" si="1">D14+(D14*6%)</f>
        <v>5102.7726129105786</v>
      </c>
      <c r="F14" s="29">
        <f t="shared" si="1"/>
        <v>5408.9389696852131</v>
      </c>
      <c r="G14" s="29">
        <f t="shared" si="1"/>
        <v>5733.4753078663261</v>
      </c>
    </row>
    <row r="17" spans="1:15" ht="15.75" thickBot="1" x14ac:dyDescent="0.3"/>
    <row r="18" spans="1:15" x14ac:dyDescent="0.25">
      <c r="A18" s="27" t="s">
        <v>1</v>
      </c>
      <c r="B18" s="28" t="s">
        <v>38</v>
      </c>
      <c r="C18" s="21" t="s">
        <v>19</v>
      </c>
      <c r="D18" s="21" t="s">
        <v>20</v>
      </c>
      <c r="E18" s="21" t="s">
        <v>21</v>
      </c>
      <c r="F18" s="21" t="s">
        <v>22</v>
      </c>
      <c r="G18" s="21" t="s">
        <v>23</v>
      </c>
      <c r="H18" s="21" t="s">
        <v>24</v>
      </c>
      <c r="I18" s="21" t="s">
        <v>25</v>
      </c>
      <c r="J18" s="21" t="s">
        <v>26</v>
      </c>
      <c r="K18" s="21" t="s">
        <v>27</v>
      </c>
      <c r="L18" s="21" t="s">
        <v>28</v>
      </c>
      <c r="M18" s="21" t="s">
        <v>29</v>
      </c>
      <c r="N18" s="21" t="s">
        <v>30</v>
      </c>
      <c r="O18" s="22" t="s">
        <v>31</v>
      </c>
    </row>
    <row r="19" spans="1:15" x14ac:dyDescent="0.25">
      <c r="A19" s="17">
        <v>1</v>
      </c>
      <c r="B19" s="8" t="str">
        <f>B14</f>
        <v>CAFÉ GOURMET</v>
      </c>
      <c r="C19" s="29">
        <f>C7*PRODUCTOS!G$10</f>
        <v>6400000</v>
      </c>
      <c r="D19" s="29">
        <f>D7*PRODUCTOS!G$10</f>
        <v>6592000</v>
      </c>
      <c r="E19" s="29">
        <f>E7*PRODUCTOS!G$10</f>
        <v>6789760</v>
      </c>
      <c r="F19" s="29">
        <f>F7*PRODUCTOS!G$10</f>
        <v>6993452.7999999998</v>
      </c>
      <c r="G19" s="29">
        <f>G7*PRODUCTOS!G$10</f>
        <v>7203256.3839999996</v>
      </c>
      <c r="H19" s="29">
        <f>H7*PRODUCTOS!G$10</f>
        <v>7419354.0755200004</v>
      </c>
      <c r="I19" s="29">
        <f>I7*PRODUCTOS!G$10</f>
        <v>7641934.6977856001</v>
      </c>
      <c r="J19" s="29">
        <f>J7*PRODUCTOS!G$10</f>
        <v>7871192.7387191681</v>
      </c>
      <c r="K19" s="29">
        <f>K7*PRODUCTOS!G$10</f>
        <v>8107328.5208807429</v>
      </c>
      <c r="L19" s="29">
        <f>L7*PRODUCTOS!G$10</f>
        <v>8350548.3765071649</v>
      </c>
      <c r="M19" s="29">
        <f>M7*PRODUCTOS!G$10</f>
        <v>8601064.8278023805</v>
      </c>
      <c r="N19" s="29">
        <f>N7*PRODUCTOS!G$10</f>
        <v>8859096.7726364508</v>
      </c>
      <c r="O19" s="29">
        <f>SUM(C19:N19)</f>
        <v>90828989.193851501</v>
      </c>
    </row>
    <row r="20" spans="1:15" ht="15.75" thickBot="1" x14ac:dyDescent="0.3">
      <c r="A20" s="34"/>
      <c r="B20" s="35" t="s">
        <v>39</v>
      </c>
      <c r="C20" s="36">
        <f>C19</f>
        <v>6400000</v>
      </c>
      <c r="D20" s="36">
        <f t="shared" ref="D20:O20" si="2">D19</f>
        <v>6592000</v>
      </c>
      <c r="E20" s="36">
        <f t="shared" si="2"/>
        <v>6789760</v>
      </c>
      <c r="F20" s="36">
        <f t="shared" si="2"/>
        <v>6993452.7999999998</v>
      </c>
      <c r="G20" s="36">
        <f t="shared" si="2"/>
        <v>7203256.3839999996</v>
      </c>
      <c r="H20" s="36">
        <f t="shared" si="2"/>
        <v>7419354.0755200004</v>
      </c>
      <c r="I20" s="36">
        <f t="shared" si="2"/>
        <v>7641934.6977856001</v>
      </c>
      <c r="J20" s="36">
        <f t="shared" si="2"/>
        <v>7871192.7387191681</v>
      </c>
      <c r="K20" s="36">
        <f t="shared" si="2"/>
        <v>8107328.5208807429</v>
      </c>
      <c r="L20" s="36">
        <f t="shared" si="2"/>
        <v>8350548.3765071649</v>
      </c>
      <c r="M20" s="36">
        <f t="shared" si="2"/>
        <v>8601064.8278023805</v>
      </c>
      <c r="N20" s="36">
        <f t="shared" si="2"/>
        <v>8859096.7726364508</v>
      </c>
      <c r="O20" s="36">
        <f t="shared" si="2"/>
        <v>90828989.193851501</v>
      </c>
    </row>
    <row r="23" spans="1:15" ht="15.75" thickBot="1" x14ac:dyDescent="0.3"/>
    <row r="24" spans="1:15" x14ac:dyDescent="0.25">
      <c r="A24" s="27" t="s">
        <v>1</v>
      </c>
      <c r="B24" s="28" t="s">
        <v>40</v>
      </c>
      <c r="C24" s="21" t="s">
        <v>33</v>
      </c>
      <c r="D24" s="21" t="s">
        <v>34</v>
      </c>
      <c r="E24" s="21" t="s">
        <v>35</v>
      </c>
      <c r="F24" s="21" t="s">
        <v>36</v>
      </c>
      <c r="G24" s="22" t="s">
        <v>37</v>
      </c>
    </row>
    <row r="25" spans="1:15" x14ac:dyDescent="0.25">
      <c r="A25" s="17">
        <v>1</v>
      </c>
      <c r="B25" s="8" t="str">
        <f>B19</f>
        <v>CAFÉ GOURMET</v>
      </c>
      <c r="C25" s="29">
        <f>O20</f>
        <v>90828989.193851501</v>
      </c>
      <c r="D25" s="29">
        <f>D14*PRODUCTOS!$G10</f>
        <v>96278728.545482606</v>
      </c>
      <c r="E25" s="29">
        <f>E14*PRODUCTOS!$G10</f>
        <v>102055452.25821157</v>
      </c>
      <c r="F25" s="29">
        <f>F14*PRODUCTOS!$G10</f>
        <v>108178779.39370427</v>
      </c>
      <c r="G25" s="29">
        <f>G14*PRODUCTOS!$G10</f>
        <v>114669506.15732652</v>
      </c>
    </row>
    <row r="26" spans="1:15" x14ac:dyDescent="0.25">
      <c r="A26" s="8"/>
      <c r="B26" s="32" t="s">
        <v>39</v>
      </c>
      <c r="C26" s="33">
        <f>C25</f>
        <v>90828989.193851501</v>
      </c>
      <c r="D26" s="33">
        <f t="shared" ref="D26:G26" si="3">D25</f>
        <v>96278728.545482606</v>
      </c>
      <c r="E26" s="33">
        <f t="shared" si="3"/>
        <v>102055452.25821157</v>
      </c>
      <c r="F26" s="33">
        <f t="shared" si="3"/>
        <v>108178779.39370427</v>
      </c>
      <c r="G26" s="33">
        <f t="shared" si="3"/>
        <v>114669506.15732652</v>
      </c>
    </row>
    <row r="29" spans="1:15" ht="15.75" thickBot="1" x14ac:dyDescent="0.3"/>
    <row r="30" spans="1:15" x14ac:dyDescent="0.25">
      <c r="A30" s="27" t="s">
        <v>1</v>
      </c>
      <c r="B30" s="28" t="s">
        <v>41</v>
      </c>
      <c r="C30" s="21" t="s">
        <v>33</v>
      </c>
      <c r="D30" s="21" t="s">
        <v>34</v>
      </c>
      <c r="E30" s="21" t="s">
        <v>35</v>
      </c>
      <c r="F30" s="21" t="s">
        <v>36</v>
      </c>
      <c r="G30" s="22" t="s">
        <v>37</v>
      </c>
    </row>
    <row r="31" spans="1:15" x14ac:dyDescent="0.25">
      <c r="A31" s="17">
        <v>1</v>
      </c>
      <c r="B31" s="8" t="str">
        <f>B25</f>
        <v>CAFÉ GOURMET</v>
      </c>
      <c r="C31" s="29">
        <f>O7*PRODUCTOS!H25</f>
        <v>18619942.784739561</v>
      </c>
      <c r="D31" s="29">
        <f>D14*PRODUCTOS!$H25</f>
        <v>19737139.351823933</v>
      </c>
      <c r="E31" s="29">
        <f>E14*PRODUCTOS!$H25</f>
        <v>20921367.712933373</v>
      </c>
      <c r="F31" s="29">
        <f>F14*PRODUCTOS!$H25</f>
        <v>22176649.775709372</v>
      </c>
      <c r="G31" s="29">
        <f>G14*PRODUCTOS!$H25</f>
        <v>23507248.762251936</v>
      </c>
    </row>
    <row r="32" spans="1:15" x14ac:dyDescent="0.25">
      <c r="A32" s="32"/>
      <c r="B32" s="32" t="s">
        <v>42</v>
      </c>
      <c r="C32" s="33">
        <f>C31</f>
        <v>18619942.784739561</v>
      </c>
      <c r="D32" s="33">
        <f t="shared" ref="D32:G32" si="4">D31</f>
        <v>19737139.351823933</v>
      </c>
      <c r="E32" s="33">
        <f t="shared" si="4"/>
        <v>20921367.712933373</v>
      </c>
      <c r="F32" s="33">
        <f t="shared" si="4"/>
        <v>22176649.775709372</v>
      </c>
      <c r="G32" s="33">
        <f t="shared" si="4"/>
        <v>23507248.762251936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19"/>
  <sheetViews>
    <sheetView workbookViewId="0">
      <selection activeCell="G21" sqref="G21"/>
    </sheetView>
  </sheetViews>
  <sheetFormatPr baseColWidth="10" defaultRowHeight="15" x14ac:dyDescent="0.25"/>
  <cols>
    <col min="1" max="1" width="4.140625" customWidth="1"/>
    <col min="2" max="2" width="23.28515625" bestFit="1" customWidth="1"/>
    <col min="3" max="3" width="19" customWidth="1"/>
  </cols>
  <sheetData>
    <row r="2" spans="1:16" x14ac:dyDescent="0.25">
      <c r="H2" s="38" t="str">
        <f>PRODUCTOS!I4</f>
        <v>CAFÉ TIPO GOURMET</v>
      </c>
      <c r="I2" s="2"/>
    </row>
    <row r="4" spans="1:16" ht="15.75" thickBot="1" x14ac:dyDescent="0.3"/>
    <row r="5" spans="1:16" x14ac:dyDescent="0.25">
      <c r="A5" s="27" t="s">
        <v>1</v>
      </c>
      <c r="B5" s="28" t="s">
        <v>46</v>
      </c>
      <c r="C5" s="28" t="s">
        <v>3</v>
      </c>
      <c r="D5" s="21" t="s">
        <v>19</v>
      </c>
      <c r="E5" s="21" t="s">
        <v>20</v>
      </c>
      <c r="F5" s="21" t="s">
        <v>21</v>
      </c>
      <c r="G5" s="21" t="s">
        <v>22</v>
      </c>
      <c r="H5" s="21" t="s">
        <v>23</v>
      </c>
      <c r="I5" s="21" t="s">
        <v>24</v>
      </c>
      <c r="J5" s="21" t="s">
        <v>25</v>
      </c>
      <c r="K5" s="21" t="s">
        <v>26</v>
      </c>
      <c r="L5" s="21" t="s">
        <v>27</v>
      </c>
      <c r="M5" s="21" t="s">
        <v>28</v>
      </c>
      <c r="N5" s="21" t="s">
        <v>29</v>
      </c>
      <c r="O5" s="21" t="s">
        <v>30</v>
      </c>
      <c r="P5" s="22" t="s">
        <v>31</v>
      </c>
    </row>
    <row r="6" spans="1:16" x14ac:dyDescent="0.25">
      <c r="A6" s="25">
        <v>1</v>
      </c>
      <c r="B6" s="37" t="str">
        <f>PRODUCTOS!E10</f>
        <v>CAFÉ GOURMET</v>
      </c>
      <c r="C6" s="37">
        <f>PRODUCTOS!F10</f>
        <v>1</v>
      </c>
      <c r="D6" s="25">
        <f>D12</f>
        <v>320</v>
      </c>
      <c r="E6" s="39">
        <f t="shared" ref="E6:O6" si="0">E12</f>
        <v>329.6</v>
      </c>
      <c r="F6" s="39">
        <f t="shared" si="0"/>
        <v>339.488</v>
      </c>
      <c r="G6" s="39">
        <f t="shared" si="0"/>
        <v>349.67264</v>
      </c>
      <c r="H6" s="39">
        <f t="shared" si="0"/>
        <v>360.1628192</v>
      </c>
      <c r="I6" s="39">
        <f t="shared" si="0"/>
        <v>370.96770377600001</v>
      </c>
      <c r="J6" s="39">
        <f t="shared" si="0"/>
        <v>382.09673488928001</v>
      </c>
      <c r="K6" s="39">
        <f t="shared" si="0"/>
        <v>393.55963693595839</v>
      </c>
      <c r="L6" s="39">
        <f t="shared" si="0"/>
        <v>405.36642604403715</v>
      </c>
      <c r="M6" s="39">
        <f t="shared" si="0"/>
        <v>417.52741882535827</v>
      </c>
      <c r="N6" s="39">
        <f t="shared" si="0"/>
        <v>430.05324139011901</v>
      </c>
      <c r="O6" s="39">
        <f t="shared" si="0"/>
        <v>442.95483863182255</v>
      </c>
      <c r="P6" s="39">
        <f>SUM(D6:O6)</f>
        <v>4541.4494596925761</v>
      </c>
    </row>
    <row r="10" spans="1:16" x14ac:dyDescent="0.25">
      <c r="B10" s="26" t="s">
        <v>43</v>
      </c>
      <c r="C10" s="31" t="s">
        <v>3</v>
      </c>
      <c r="D10" s="6" t="s">
        <v>19</v>
      </c>
      <c r="E10" s="6" t="s">
        <v>20</v>
      </c>
      <c r="F10" s="6" t="s">
        <v>21</v>
      </c>
      <c r="G10" s="6" t="s">
        <v>22</v>
      </c>
      <c r="H10" s="6" t="s">
        <v>23</v>
      </c>
      <c r="I10" s="6" t="s">
        <v>24</v>
      </c>
      <c r="J10" s="6" t="s">
        <v>25</v>
      </c>
      <c r="K10" s="6" t="s">
        <v>26</v>
      </c>
      <c r="L10" s="6" t="s">
        <v>27</v>
      </c>
      <c r="M10" s="6" t="s">
        <v>28</v>
      </c>
      <c r="N10" s="6" t="s">
        <v>29</v>
      </c>
      <c r="O10" s="6" t="s">
        <v>30</v>
      </c>
    </row>
    <row r="11" spans="1:16" x14ac:dyDescent="0.25">
      <c r="B11" s="25" t="s">
        <v>44</v>
      </c>
      <c r="C11" s="37">
        <f>C6</f>
        <v>1</v>
      </c>
      <c r="D11" s="25">
        <v>0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6" x14ac:dyDescent="0.25">
      <c r="B12" s="26" t="s">
        <v>45</v>
      </c>
      <c r="C12" s="40">
        <f>C11</f>
        <v>1</v>
      </c>
      <c r="D12" s="26">
        <f>D13</f>
        <v>320</v>
      </c>
      <c r="E12" s="41">
        <f t="shared" ref="E12:O12" si="1">E13</f>
        <v>329.6</v>
      </c>
      <c r="F12" s="41">
        <f t="shared" si="1"/>
        <v>339.488</v>
      </c>
      <c r="G12" s="41">
        <f t="shared" si="1"/>
        <v>349.67264</v>
      </c>
      <c r="H12" s="41">
        <f t="shared" si="1"/>
        <v>360.1628192</v>
      </c>
      <c r="I12" s="41">
        <f t="shared" si="1"/>
        <v>370.96770377600001</v>
      </c>
      <c r="J12" s="41">
        <f t="shared" si="1"/>
        <v>382.09673488928001</v>
      </c>
      <c r="K12" s="41">
        <f t="shared" si="1"/>
        <v>393.55963693595839</v>
      </c>
      <c r="L12" s="41">
        <f t="shared" si="1"/>
        <v>405.36642604403715</v>
      </c>
      <c r="M12" s="41">
        <f t="shared" si="1"/>
        <v>417.52741882535827</v>
      </c>
      <c r="N12" s="41">
        <f t="shared" si="1"/>
        <v>430.05324139011901</v>
      </c>
      <c r="O12" s="41">
        <f t="shared" si="1"/>
        <v>442.95483863182255</v>
      </c>
    </row>
    <row r="13" spans="1:16" x14ac:dyDescent="0.25">
      <c r="B13" s="25" t="s">
        <v>47</v>
      </c>
      <c r="C13" s="37">
        <f>C12</f>
        <v>1</v>
      </c>
      <c r="D13" s="25">
        <f>VENTAS!C7</f>
        <v>320</v>
      </c>
      <c r="E13" s="39">
        <f>VENTAS!D7</f>
        <v>329.6</v>
      </c>
      <c r="F13" s="39">
        <f>VENTAS!E7</f>
        <v>339.488</v>
      </c>
      <c r="G13" s="39">
        <f>VENTAS!F7</f>
        <v>349.67264</v>
      </c>
      <c r="H13" s="39">
        <f>VENTAS!G7</f>
        <v>360.1628192</v>
      </c>
      <c r="I13" s="39">
        <f>VENTAS!H7</f>
        <v>370.96770377600001</v>
      </c>
      <c r="J13" s="39">
        <f>VENTAS!I7</f>
        <v>382.09673488928001</v>
      </c>
      <c r="K13" s="39">
        <f>VENTAS!J7</f>
        <v>393.55963693595839</v>
      </c>
      <c r="L13" s="39">
        <f>VENTAS!K7</f>
        <v>405.36642604403715</v>
      </c>
      <c r="M13" s="39">
        <f>VENTAS!L7</f>
        <v>417.52741882535827</v>
      </c>
      <c r="N13" s="39">
        <f>VENTAS!M7</f>
        <v>430.05324139011901</v>
      </c>
      <c r="O13" s="39">
        <f>VENTAS!N7</f>
        <v>442.95483863182255</v>
      </c>
    </row>
    <row r="16" spans="1:16" ht="15.75" thickBot="1" x14ac:dyDescent="0.3"/>
    <row r="17" spans="1:6" ht="30" x14ac:dyDescent="0.25">
      <c r="A17" s="19" t="s">
        <v>1</v>
      </c>
      <c r="B17" s="20" t="s">
        <v>48</v>
      </c>
      <c r="C17" s="20" t="s">
        <v>3</v>
      </c>
      <c r="D17" s="20" t="s">
        <v>49</v>
      </c>
      <c r="E17" s="21" t="s">
        <v>9</v>
      </c>
      <c r="F17" s="22" t="s">
        <v>91</v>
      </c>
    </row>
    <row r="18" spans="1:6" x14ac:dyDescent="0.25">
      <c r="A18" s="25">
        <v>1</v>
      </c>
      <c r="B18" s="37" t="str">
        <f>B6</f>
        <v>CAFÉ GOURMET</v>
      </c>
      <c r="C18" s="25">
        <v>1</v>
      </c>
      <c r="D18" s="25">
        <v>0</v>
      </c>
      <c r="E18" s="37">
        <f>PRODUCTOS!H25</f>
        <v>4100</v>
      </c>
      <c r="F18" s="37">
        <v>0</v>
      </c>
    </row>
    <row r="19" spans="1:6" x14ac:dyDescent="0.25">
      <c r="E19" s="2" t="s">
        <v>31</v>
      </c>
      <c r="F19" s="24">
        <f>F18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33"/>
  <sheetViews>
    <sheetView topLeftCell="C1" workbookViewId="0">
      <selection activeCell="F36" sqref="F36"/>
    </sheetView>
  </sheetViews>
  <sheetFormatPr baseColWidth="10" defaultRowHeight="15" x14ac:dyDescent="0.25"/>
  <cols>
    <col min="1" max="1" width="4.85546875" customWidth="1"/>
    <col min="2" max="2" width="54.85546875" bestFit="1" customWidth="1"/>
    <col min="3" max="3" width="20.28515625" bestFit="1" customWidth="1"/>
    <col min="4" max="8" width="13.140625" bestFit="1" customWidth="1"/>
    <col min="9" max="10" width="11.7109375" customWidth="1"/>
    <col min="11" max="15" width="13.140625" bestFit="1" customWidth="1"/>
    <col min="16" max="16" width="11.5703125" bestFit="1" customWidth="1"/>
  </cols>
  <sheetData>
    <row r="2" spans="1:16" x14ac:dyDescent="0.25">
      <c r="I2" s="4" t="s">
        <v>0</v>
      </c>
    </row>
    <row r="5" spans="1:16" x14ac:dyDescent="0.25">
      <c r="A5" s="30" t="s">
        <v>1</v>
      </c>
      <c r="B5" s="31" t="s">
        <v>199</v>
      </c>
      <c r="C5" s="31" t="s">
        <v>3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</row>
    <row r="6" spans="1:16" x14ac:dyDescent="0.25">
      <c r="A6" s="25">
        <v>1</v>
      </c>
      <c r="B6" s="37" t="str">
        <f>PRODUCTOS!E25</f>
        <v>CAFÉ GOURMET</v>
      </c>
      <c r="C6" s="37" t="str">
        <f>PRODUCTOS!F17</f>
        <v>LIBRA</v>
      </c>
      <c r="D6" s="25">
        <f>D19</f>
        <v>320</v>
      </c>
      <c r="E6" s="39">
        <f t="shared" ref="E6:O6" si="0">E19</f>
        <v>329.6</v>
      </c>
      <c r="F6" s="39">
        <f t="shared" si="0"/>
        <v>339.488</v>
      </c>
      <c r="G6" s="39">
        <f t="shared" si="0"/>
        <v>349.67264</v>
      </c>
      <c r="H6" s="39">
        <f t="shared" si="0"/>
        <v>360.1628192</v>
      </c>
      <c r="I6" s="39">
        <f t="shared" si="0"/>
        <v>370.96770377600001</v>
      </c>
      <c r="J6" s="39">
        <f t="shared" si="0"/>
        <v>382.09673488928001</v>
      </c>
      <c r="K6" s="39">
        <f t="shared" si="0"/>
        <v>393.55963693595839</v>
      </c>
      <c r="L6" s="39">
        <f t="shared" si="0"/>
        <v>405.36642604403715</v>
      </c>
      <c r="M6" s="39">
        <f t="shared" si="0"/>
        <v>417.52741882535827</v>
      </c>
      <c r="N6" s="39">
        <f t="shared" si="0"/>
        <v>430.05324139011901</v>
      </c>
      <c r="O6" s="39">
        <f t="shared" si="0"/>
        <v>442.95483863182255</v>
      </c>
      <c r="P6" s="39">
        <f>SUM(D6:O6)</f>
        <v>4541.4494596925761</v>
      </c>
    </row>
    <row r="7" spans="1:16" x14ac:dyDescent="0.25">
      <c r="A7" s="25">
        <v>2</v>
      </c>
      <c r="B7" s="37" t="str">
        <f>PRODUCTOS!E18</f>
        <v>BOLSA CON VALVULA DOSIFICADORA</v>
      </c>
      <c r="C7" s="37" t="str">
        <f>PRODUCTOS!F18</f>
        <v>UNIDAD</v>
      </c>
      <c r="D7" s="25">
        <f>D26</f>
        <v>320</v>
      </c>
      <c r="E7" s="39">
        <f t="shared" ref="E7:O7" si="1">E26</f>
        <v>329.6</v>
      </c>
      <c r="F7" s="39">
        <f t="shared" si="1"/>
        <v>339.488</v>
      </c>
      <c r="G7" s="39">
        <f t="shared" si="1"/>
        <v>349.67264</v>
      </c>
      <c r="H7" s="39">
        <f t="shared" si="1"/>
        <v>360.1628192</v>
      </c>
      <c r="I7" s="39">
        <f t="shared" si="1"/>
        <v>370.96770377600001</v>
      </c>
      <c r="J7" s="39">
        <f t="shared" si="1"/>
        <v>382.09673488928001</v>
      </c>
      <c r="K7" s="39">
        <f t="shared" si="1"/>
        <v>393.55963693595839</v>
      </c>
      <c r="L7" s="39">
        <f t="shared" si="1"/>
        <v>405.36642604403715</v>
      </c>
      <c r="M7" s="39">
        <f t="shared" si="1"/>
        <v>417.52741882535827</v>
      </c>
      <c r="N7" s="39">
        <f t="shared" si="1"/>
        <v>430.05324139011901</v>
      </c>
      <c r="O7" s="39">
        <f t="shared" si="1"/>
        <v>442.95483863182255</v>
      </c>
      <c r="P7" s="39">
        <f>SUM(D7:O7)</f>
        <v>4541.4494596925761</v>
      </c>
    </row>
    <row r="10" spans="1:16" x14ac:dyDescent="0.25">
      <c r="A10" s="30" t="s">
        <v>1</v>
      </c>
      <c r="B10" s="31" t="s">
        <v>200</v>
      </c>
      <c r="C10" s="31" t="s">
        <v>3</v>
      </c>
      <c r="D10" s="6" t="s">
        <v>19</v>
      </c>
      <c r="E10" s="6" t="s">
        <v>20</v>
      </c>
      <c r="F10" s="6" t="s">
        <v>21</v>
      </c>
      <c r="G10" s="6" t="s">
        <v>22</v>
      </c>
      <c r="H10" s="6" t="s">
        <v>23</v>
      </c>
      <c r="I10" s="6" t="s">
        <v>24</v>
      </c>
      <c r="J10" s="6" t="s">
        <v>25</v>
      </c>
      <c r="K10" s="6" t="s">
        <v>26</v>
      </c>
      <c r="L10" s="6" t="s">
        <v>27</v>
      </c>
      <c r="M10" s="6" t="s">
        <v>28</v>
      </c>
      <c r="N10" s="6" t="s">
        <v>29</v>
      </c>
      <c r="O10" s="6" t="s">
        <v>30</v>
      </c>
      <c r="P10" s="6" t="s">
        <v>31</v>
      </c>
    </row>
    <row r="11" spans="1:16" x14ac:dyDescent="0.25">
      <c r="A11" s="25">
        <v>1</v>
      </c>
      <c r="B11" s="7" t="s">
        <v>17</v>
      </c>
      <c r="C11" s="8" t="s">
        <v>52</v>
      </c>
      <c r="D11" s="43">
        <f>D6*PRODUCTOS!$G17</f>
        <v>1088000</v>
      </c>
      <c r="E11" s="43">
        <f>E6*PRODUCTOS!$G17</f>
        <v>1120640</v>
      </c>
      <c r="F11" s="43">
        <f>F6*PRODUCTOS!$G17</f>
        <v>1154259.2</v>
      </c>
      <c r="G11" s="43">
        <f>G6*PRODUCTOS!$G17</f>
        <v>1188886.976</v>
      </c>
      <c r="H11" s="43">
        <f>H6*PRODUCTOS!$G17</f>
        <v>1224553.58528</v>
      </c>
      <c r="I11" s="43">
        <f>I6*PRODUCTOS!$G17</f>
        <v>1261290.1928384001</v>
      </c>
      <c r="J11" s="43">
        <f>J6*PRODUCTOS!$G17</f>
        <v>1299128.8986235519</v>
      </c>
      <c r="K11" s="43">
        <f>K6*PRODUCTOS!$G17</f>
        <v>1338102.7655822586</v>
      </c>
      <c r="L11" s="43">
        <f>L6*PRODUCTOS!$G17</f>
        <v>1378245.8485497264</v>
      </c>
      <c r="M11" s="43">
        <f>M6*PRODUCTOS!$G17</f>
        <v>1419593.2240062181</v>
      </c>
      <c r="N11" s="43">
        <f>N6*PRODUCTOS!$G17</f>
        <v>1462181.0207264046</v>
      </c>
      <c r="O11" s="43">
        <f>O6*PRODUCTOS!$G17</f>
        <v>1506046.4513481967</v>
      </c>
      <c r="P11" s="43">
        <f>SUM(D11:O11)</f>
        <v>15440928.162954757</v>
      </c>
    </row>
    <row r="12" spans="1:16" x14ac:dyDescent="0.25">
      <c r="A12" s="25">
        <v>2</v>
      </c>
      <c r="B12" s="48" t="s">
        <v>51</v>
      </c>
      <c r="C12" s="8" t="s">
        <v>53</v>
      </c>
      <c r="D12" s="43">
        <f>D7*PRODUCTOS!$G18</f>
        <v>224000</v>
      </c>
      <c r="E12" s="43">
        <f>E7*PRODUCTOS!$G18</f>
        <v>230720.00000000003</v>
      </c>
      <c r="F12" s="43">
        <f>F7*PRODUCTOS!$G18</f>
        <v>237641.60000000001</v>
      </c>
      <c r="G12" s="43">
        <f>G7*PRODUCTOS!$G18</f>
        <v>244770.848</v>
      </c>
      <c r="H12" s="43">
        <f>H7*PRODUCTOS!$G18</f>
        <v>252113.97344</v>
      </c>
      <c r="I12" s="43">
        <f>I7*PRODUCTOS!$G18</f>
        <v>259677.3926432</v>
      </c>
      <c r="J12" s="43">
        <f>J7*PRODUCTOS!$G18</f>
        <v>267467.71442249604</v>
      </c>
      <c r="K12" s="43">
        <f>K7*PRODUCTOS!$G18</f>
        <v>275491.74585517088</v>
      </c>
      <c r="L12" s="43">
        <f>L7*PRODUCTOS!$G18</f>
        <v>283756.49823082599</v>
      </c>
      <c r="M12" s="43">
        <f>M7*PRODUCTOS!$G18</f>
        <v>292269.1931777508</v>
      </c>
      <c r="N12" s="43">
        <f>N7*PRODUCTOS!$G18</f>
        <v>301037.26897308329</v>
      </c>
      <c r="O12" s="43">
        <f>O7*PRODUCTOS!$G18</f>
        <v>310068.3870422758</v>
      </c>
      <c r="P12" s="43">
        <f>SUM(D12:O12)</f>
        <v>3179014.6217848025</v>
      </c>
    </row>
    <row r="13" spans="1:16" x14ac:dyDescent="0.25">
      <c r="D13" s="49">
        <f>SUM(D11:D12)</f>
        <v>1312000</v>
      </c>
      <c r="E13" s="49">
        <f t="shared" ref="E13:P13" si="2">SUM(E11:E12)</f>
        <v>1351360</v>
      </c>
      <c r="F13" s="49">
        <f t="shared" si="2"/>
        <v>1391900.8</v>
      </c>
      <c r="G13" s="49">
        <f t="shared" si="2"/>
        <v>1433657.824</v>
      </c>
      <c r="H13" s="49">
        <f t="shared" si="2"/>
        <v>1476667.5587200001</v>
      </c>
      <c r="I13" s="49">
        <f t="shared" si="2"/>
        <v>1520967.5854816001</v>
      </c>
      <c r="J13" s="49">
        <f t="shared" si="2"/>
        <v>1566596.613046048</v>
      </c>
      <c r="K13" s="49">
        <f t="shared" si="2"/>
        <v>1613594.5114374296</v>
      </c>
      <c r="L13" s="49">
        <f t="shared" si="2"/>
        <v>1662002.3467805525</v>
      </c>
      <c r="M13" s="49">
        <f t="shared" si="2"/>
        <v>1711862.4171839689</v>
      </c>
      <c r="N13" s="49">
        <f t="shared" si="2"/>
        <v>1763218.2896994879</v>
      </c>
      <c r="O13" s="49">
        <f t="shared" si="2"/>
        <v>1816114.8383904726</v>
      </c>
      <c r="P13" s="49">
        <f t="shared" si="2"/>
        <v>18619942.784739561</v>
      </c>
    </row>
    <row r="17" spans="2:15" x14ac:dyDescent="0.25">
      <c r="B17" s="26" t="s">
        <v>54</v>
      </c>
      <c r="C17" s="31" t="s">
        <v>3</v>
      </c>
      <c r="D17" s="6" t="s">
        <v>19</v>
      </c>
      <c r="E17" s="6" t="s">
        <v>20</v>
      </c>
      <c r="F17" s="6" t="s">
        <v>21</v>
      </c>
      <c r="G17" s="6" t="s">
        <v>22</v>
      </c>
      <c r="H17" s="6" t="s">
        <v>23</v>
      </c>
      <c r="I17" s="6" t="s">
        <v>24</v>
      </c>
      <c r="J17" s="6" t="s">
        <v>25</v>
      </c>
      <c r="K17" s="6" t="s">
        <v>26</v>
      </c>
      <c r="L17" s="6" t="s">
        <v>27</v>
      </c>
      <c r="M17" s="6" t="s">
        <v>28</v>
      </c>
      <c r="N17" s="6" t="s">
        <v>29</v>
      </c>
      <c r="O17" s="6" t="s">
        <v>30</v>
      </c>
    </row>
    <row r="18" spans="2:15" x14ac:dyDescent="0.25">
      <c r="B18" s="25" t="s">
        <v>44</v>
      </c>
      <c r="C18" s="25" t="s">
        <v>52</v>
      </c>
      <c r="D18" s="25">
        <v>0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</row>
    <row r="19" spans="2:15" x14ac:dyDescent="0.25">
      <c r="B19" s="26" t="s">
        <v>55</v>
      </c>
      <c r="C19" s="25" t="s">
        <v>52</v>
      </c>
      <c r="D19" s="25">
        <f>D20</f>
        <v>320</v>
      </c>
      <c r="E19" s="39">
        <f t="shared" ref="E19:O19" si="3">E20</f>
        <v>329.6</v>
      </c>
      <c r="F19" s="39">
        <f t="shared" si="3"/>
        <v>339.488</v>
      </c>
      <c r="G19" s="39">
        <f t="shared" si="3"/>
        <v>349.67264</v>
      </c>
      <c r="H19" s="39">
        <f t="shared" si="3"/>
        <v>360.1628192</v>
      </c>
      <c r="I19" s="39">
        <f t="shared" si="3"/>
        <v>370.96770377600001</v>
      </c>
      <c r="J19" s="39">
        <f t="shared" si="3"/>
        <v>382.09673488928001</v>
      </c>
      <c r="K19" s="39">
        <f t="shared" si="3"/>
        <v>393.55963693595839</v>
      </c>
      <c r="L19" s="39">
        <f t="shared" si="3"/>
        <v>405.36642604403715</v>
      </c>
      <c r="M19" s="39">
        <f t="shared" si="3"/>
        <v>417.52741882535827</v>
      </c>
      <c r="N19" s="39">
        <f t="shared" si="3"/>
        <v>430.05324139011901</v>
      </c>
      <c r="O19" s="39">
        <f t="shared" si="3"/>
        <v>442.95483863182255</v>
      </c>
    </row>
    <row r="20" spans="2:15" x14ac:dyDescent="0.25">
      <c r="B20" s="25" t="s">
        <v>56</v>
      </c>
      <c r="C20" s="25" t="s">
        <v>52</v>
      </c>
      <c r="D20" s="25">
        <f>CONSUMOS!E25</f>
        <v>320</v>
      </c>
      <c r="E20" s="39">
        <f>CONSUMOS!F25</f>
        <v>329.6</v>
      </c>
      <c r="F20" s="39">
        <f>CONSUMOS!G25</f>
        <v>339.488</v>
      </c>
      <c r="G20" s="39">
        <f>CONSUMOS!H25</f>
        <v>349.67264</v>
      </c>
      <c r="H20" s="39">
        <f>CONSUMOS!I25</f>
        <v>360.1628192</v>
      </c>
      <c r="I20" s="39">
        <f>CONSUMOS!J25</f>
        <v>370.96770377600001</v>
      </c>
      <c r="J20" s="39">
        <f>CONSUMOS!K25</f>
        <v>382.09673488928001</v>
      </c>
      <c r="K20" s="39">
        <f>CONSUMOS!L25</f>
        <v>393.55963693595839</v>
      </c>
      <c r="L20" s="39">
        <f>CONSUMOS!M25</f>
        <v>405.36642604403715</v>
      </c>
      <c r="M20" s="39">
        <f>CONSUMOS!N25</f>
        <v>417.52741882535827</v>
      </c>
      <c r="N20" s="39">
        <f>CONSUMOS!O25</f>
        <v>430.05324139011901</v>
      </c>
      <c r="O20" s="39">
        <f>CONSUMOS!P25</f>
        <v>442.95483863182255</v>
      </c>
    </row>
    <row r="24" spans="2:15" x14ac:dyDescent="0.25">
      <c r="B24" s="26" t="s">
        <v>57</v>
      </c>
      <c r="C24" s="31" t="s">
        <v>3</v>
      </c>
      <c r="D24" s="6" t="s">
        <v>19</v>
      </c>
      <c r="E24" s="6" t="s">
        <v>20</v>
      </c>
      <c r="F24" s="6" t="s">
        <v>21</v>
      </c>
      <c r="G24" s="6" t="s">
        <v>22</v>
      </c>
      <c r="H24" s="6" t="s">
        <v>23</v>
      </c>
      <c r="I24" s="6" t="s">
        <v>24</v>
      </c>
      <c r="J24" s="6" t="s">
        <v>25</v>
      </c>
      <c r="K24" s="6" t="s">
        <v>26</v>
      </c>
      <c r="L24" s="6" t="s">
        <v>27</v>
      </c>
      <c r="M24" s="6" t="s">
        <v>28</v>
      </c>
      <c r="N24" s="6" t="s">
        <v>29</v>
      </c>
      <c r="O24" s="6" t="s">
        <v>30</v>
      </c>
    </row>
    <row r="25" spans="2:15" x14ac:dyDescent="0.25">
      <c r="B25" s="25" t="s">
        <v>44</v>
      </c>
      <c r="C25" s="25" t="s">
        <v>53</v>
      </c>
      <c r="D25" s="25">
        <v>0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2:15" ht="22.5" customHeight="1" x14ac:dyDescent="0.25">
      <c r="B26" s="26" t="s">
        <v>58</v>
      </c>
      <c r="C26" s="25" t="s">
        <v>53</v>
      </c>
      <c r="D26" s="25">
        <f>D27</f>
        <v>320</v>
      </c>
      <c r="E26" s="39">
        <f t="shared" ref="E26:O26" si="4">E27</f>
        <v>329.6</v>
      </c>
      <c r="F26" s="39">
        <f t="shared" si="4"/>
        <v>339.488</v>
      </c>
      <c r="G26" s="39">
        <f t="shared" si="4"/>
        <v>349.67264</v>
      </c>
      <c r="H26" s="39">
        <f t="shared" si="4"/>
        <v>360.1628192</v>
      </c>
      <c r="I26" s="39">
        <f t="shared" si="4"/>
        <v>370.96770377600001</v>
      </c>
      <c r="J26" s="39">
        <f t="shared" si="4"/>
        <v>382.09673488928001</v>
      </c>
      <c r="K26" s="39">
        <f t="shared" si="4"/>
        <v>393.55963693595839</v>
      </c>
      <c r="L26" s="39">
        <f t="shared" si="4"/>
        <v>405.36642604403715</v>
      </c>
      <c r="M26" s="39">
        <f t="shared" si="4"/>
        <v>417.52741882535827</v>
      </c>
      <c r="N26" s="39">
        <f t="shared" si="4"/>
        <v>430.05324139011901</v>
      </c>
      <c r="O26" s="39">
        <f t="shared" si="4"/>
        <v>442.95483863182255</v>
      </c>
    </row>
    <row r="27" spans="2:15" x14ac:dyDescent="0.25">
      <c r="B27" s="25" t="s">
        <v>56</v>
      </c>
      <c r="C27" s="25" t="s">
        <v>53</v>
      </c>
      <c r="D27" s="25">
        <f>CONSUMOS!E26</f>
        <v>320</v>
      </c>
      <c r="E27" s="39">
        <f>CONSUMOS!F26</f>
        <v>329.6</v>
      </c>
      <c r="F27" s="39">
        <f>CONSUMOS!G26</f>
        <v>339.488</v>
      </c>
      <c r="G27" s="39">
        <f>CONSUMOS!H26</f>
        <v>349.67264</v>
      </c>
      <c r="H27" s="39">
        <f>CONSUMOS!I26</f>
        <v>360.1628192</v>
      </c>
      <c r="I27" s="39">
        <f>CONSUMOS!J26</f>
        <v>370.96770377600001</v>
      </c>
      <c r="J27" s="39">
        <f>CONSUMOS!K26</f>
        <v>382.09673488928001</v>
      </c>
      <c r="K27" s="39">
        <f>CONSUMOS!L26</f>
        <v>393.55963693595839</v>
      </c>
      <c r="L27" s="39">
        <f>CONSUMOS!M26</f>
        <v>405.36642604403715</v>
      </c>
      <c r="M27" s="39">
        <f>CONSUMOS!N26</f>
        <v>417.52741882535827</v>
      </c>
      <c r="N27" s="39">
        <f>CONSUMOS!O26</f>
        <v>430.05324139011901</v>
      </c>
      <c r="O27" s="39">
        <f>CONSUMOS!P26</f>
        <v>442.95483863182255</v>
      </c>
    </row>
    <row r="30" spans="2:15" ht="30" x14ac:dyDescent="0.25">
      <c r="B30" s="26" t="s">
        <v>201</v>
      </c>
      <c r="C30" s="31" t="s">
        <v>3</v>
      </c>
      <c r="D30" s="6" t="s">
        <v>202</v>
      </c>
      <c r="E30" s="6" t="s">
        <v>9</v>
      </c>
      <c r="F30" s="6" t="s">
        <v>91</v>
      </c>
    </row>
    <row r="31" spans="2:15" x14ac:dyDescent="0.25">
      <c r="B31" s="37" t="str">
        <f>B11</f>
        <v>CAFÉ GOURMET</v>
      </c>
      <c r="C31" s="25" t="str">
        <f>C18</f>
        <v>LIBRA</v>
      </c>
      <c r="D31" s="96">
        <v>0</v>
      </c>
      <c r="E31" s="96">
        <f>PRODUCTOS!G17</f>
        <v>3400</v>
      </c>
      <c r="F31" s="96">
        <f>D31*E31</f>
        <v>0</v>
      </c>
      <c r="G31" s="94"/>
      <c r="H31" s="94"/>
    </row>
    <row r="32" spans="2:15" x14ac:dyDescent="0.25">
      <c r="B32" s="37" t="str">
        <f>B12</f>
        <v>BOLSA CON VALVULA DOSIFICADORA</v>
      </c>
      <c r="C32" s="25" t="str">
        <f>C27</f>
        <v>UNIDAD</v>
      </c>
      <c r="D32" s="96">
        <v>0</v>
      </c>
      <c r="E32" s="96">
        <f>PRODUCTOS!G18</f>
        <v>700</v>
      </c>
      <c r="F32" s="96">
        <f>D32*E32</f>
        <v>0</v>
      </c>
      <c r="G32" s="94"/>
      <c r="H32" s="94"/>
    </row>
    <row r="33" spans="3:6" x14ac:dyDescent="0.25">
      <c r="C33" s="2" t="s">
        <v>31</v>
      </c>
      <c r="F33" s="97">
        <f>SUM(F31:F32)</f>
        <v>0</v>
      </c>
    </row>
  </sheetData>
  <pageMargins left="0.7" right="0.7" top="0.75" bottom="0.75" header="0.3" footer="0.3"/>
  <pageSetup paperSize="0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Q34"/>
  <sheetViews>
    <sheetView workbookViewId="0">
      <selection activeCell="I40" sqref="H40:I40"/>
    </sheetView>
  </sheetViews>
  <sheetFormatPr baseColWidth="10" defaultRowHeight="15" x14ac:dyDescent="0.25"/>
  <cols>
    <col min="1" max="1" width="11.42578125" style="3"/>
    <col min="2" max="2" width="4.42578125" style="18" customWidth="1"/>
    <col min="3" max="3" width="39.28515625" style="3" bestFit="1" customWidth="1"/>
    <col min="4" max="15" width="13.140625" style="3" bestFit="1" customWidth="1"/>
    <col min="16" max="16" width="14.140625" style="3" bestFit="1" customWidth="1"/>
    <col min="17" max="17" width="11.5703125" style="3" bestFit="1" customWidth="1"/>
    <col min="18" max="16384" width="11.42578125" style="3"/>
  </cols>
  <sheetData>
    <row r="4" spans="1:16" x14ac:dyDescent="0.25">
      <c r="H4" s="4" t="str">
        <f>COMPRAS!I2</f>
        <v>CAFÉ TIPO GOURMET</v>
      </c>
    </row>
    <row r="6" spans="1:16" x14ac:dyDescent="0.25">
      <c r="A6" s="3" t="s">
        <v>59</v>
      </c>
    </row>
    <row r="8" spans="1:16" x14ac:dyDescent="0.25">
      <c r="B8" s="18" t="s">
        <v>60</v>
      </c>
    </row>
    <row r="10" spans="1:16" ht="30" x14ac:dyDescent="0.25">
      <c r="B10" s="45" t="s">
        <v>1</v>
      </c>
      <c r="C10" s="5" t="s">
        <v>2</v>
      </c>
      <c r="D10" s="5" t="s">
        <v>3</v>
      </c>
      <c r="E10" s="5" t="s">
        <v>61</v>
      </c>
      <c r="F10" s="6" t="s">
        <v>6</v>
      </c>
    </row>
    <row r="11" spans="1:16" x14ac:dyDescent="0.25">
      <c r="B11" s="17">
        <v>1</v>
      </c>
      <c r="C11" s="8" t="str">
        <f>PRODUCTOS!E10</f>
        <v>CAFÉ GOURMET</v>
      </c>
      <c r="D11" s="29">
        <f>PRODUCTOS!F10</f>
        <v>1</v>
      </c>
      <c r="E11" s="29">
        <f>PRODUCTOS!H10</f>
        <v>1</v>
      </c>
      <c r="F11" s="29">
        <f>PRODUCTOS!I10</f>
        <v>1</v>
      </c>
    </row>
    <row r="14" spans="1:16" x14ac:dyDescent="0.25">
      <c r="B14" s="46" t="s">
        <v>1</v>
      </c>
      <c r="C14" s="31" t="s">
        <v>62</v>
      </c>
      <c r="D14" s="6" t="s">
        <v>19</v>
      </c>
      <c r="E14" s="6" t="s">
        <v>20</v>
      </c>
      <c r="F14" s="6" t="s">
        <v>21</v>
      </c>
      <c r="G14" s="6" t="s">
        <v>22</v>
      </c>
      <c r="H14" s="6" t="s">
        <v>23</v>
      </c>
      <c r="I14" s="6" t="s">
        <v>24</v>
      </c>
      <c r="J14" s="6" t="s">
        <v>25</v>
      </c>
      <c r="K14" s="6" t="s">
        <v>26</v>
      </c>
      <c r="L14" s="6" t="s">
        <v>27</v>
      </c>
      <c r="M14" s="6" t="s">
        <v>28</v>
      </c>
      <c r="N14" s="6" t="s">
        <v>29</v>
      </c>
      <c r="O14" s="6" t="s">
        <v>30</v>
      </c>
      <c r="P14" s="6" t="s">
        <v>31</v>
      </c>
    </row>
    <row r="15" spans="1:16" x14ac:dyDescent="0.25">
      <c r="B15" s="17">
        <v>1</v>
      </c>
      <c r="C15" s="8" t="str">
        <f>C11</f>
        <v>CAFÉ GOURMET</v>
      </c>
      <c r="D15" s="29">
        <f>PRODUCCION!D12*CONSUMOS!E11</f>
        <v>320</v>
      </c>
      <c r="E15" s="29">
        <f>PRODUCCION!E12*CONSUMOS!$E11</f>
        <v>329.6</v>
      </c>
      <c r="F15" s="29">
        <f>PRODUCCION!F12*CONSUMOS!$E11</f>
        <v>339.488</v>
      </c>
      <c r="G15" s="29">
        <f>PRODUCCION!G12*CONSUMOS!$E11</f>
        <v>349.67264</v>
      </c>
      <c r="H15" s="29">
        <f>PRODUCCION!H12*CONSUMOS!$E11</f>
        <v>360.1628192</v>
      </c>
      <c r="I15" s="29">
        <f>PRODUCCION!I12*CONSUMOS!$E11</f>
        <v>370.96770377600001</v>
      </c>
      <c r="J15" s="29">
        <f>PRODUCCION!J12*CONSUMOS!$E11</f>
        <v>382.09673488928001</v>
      </c>
      <c r="K15" s="29">
        <f>PRODUCCION!K12*CONSUMOS!$E11</f>
        <v>393.55963693595839</v>
      </c>
      <c r="L15" s="29">
        <f>PRODUCCION!L12*CONSUMOS!$E11</f>
        <v>405.36642604403715</v>
      </c>
      <c r="M15" s="29">
        <f>PRODUCCION!M12*CONSUMOS!$E11</f>
        <v>417.52741882535827</v>
      </c>
      <c r="N15" s="29">
        <f>PRODUCCION!N12*CONSUMOS!$E11</f>
        <v>430.05324139011901</v>
      </c>
      <c r="O15" s="29">
        <f>PRODUCCION!O12*CONSUMOS!$E11</f>
        <v>442.95483863182255</v>
      </c>
      <c r="P15" s="29">
        <f>SUM(D15:O15)</f>
        <v>4541.4494596925761</v>
      </c>
    </row>
    <row r="18" spans="1:17" x14ac:dyDescent="0.25">
      <c r="B18" s="46" t="s">
        <v>1</v>
      </c>
      <c r="C18" s="31" t="s">
        <v>65</v>
      </c>
      <c r="D18" s="6" t="s">
        <v>19</v>
      </c>
      <c r="E18" s="6" t="s">
        <v>20</v>
      </c>
      <c r="F18" s="6" t="s">
        <v>21</v>
      </c>
      <c r="G18" s="6" t="s">
        <v>22</v>
      </c>
      <c r="H18" s="6" t="s">
        <v>23</v>
      </c>
      <c r="I18" s="6" t="s">
        <v>24</v>
      </c>
      <c r="J18" s="6" t="s">
        <v>25</v>
      </c>
      <c r="K18" s="6" t="s">
        <v>26</v>
      </c>
      <c r="L18" s="6" t="s">
        <v>27</v>
      </c>
      <c r="M18" s="6" t="s">
        <v>28</v>
      </c>
      <c r="N18" s="6" t="s">
        <v>29</v>
      </c>
      <c r="O18" s="6" t="s">
        <v>30</v>
      </c>
      <c r="P18" s="6" t="s">
        <v>31</v>
      </c>
    </row>
    <row r="19" spans="1:17" x14ac:dyDescent="0.25">
      <c r="B19" s="17">
        <v>1</v>
      </c>
      <c r="C19" s="8" t="str">
        <f>C11</f>
        <v>CAFÉ GOURMET</v>
      </c>
      <c r="D19" s="29">
        <f>PRODUCCION!D6*CONSUMOS!$F11</f>
        <v>320</v>
      </c>
      <c r="E19" s="29">
        <f>PRODUCCION!E6*CONSUMOS!$F11</f>
        <v>329.6</v>
      </c>
      <c r="F19" s="29">
        <f>PRODUCCION!F6*CONSUMOS!$F11</f>
        <v>339.488</v>
      </c>
      <c r="G19" s="29">
        <f>PRODUCCION!G6*CONSUMOS!$F11</f>
        <v>349.67264</v>
      </c>
      <c r="H19" s="29">
        <f>PRODUCCION!H6*CONSUMOS!$F11</f>
        <v>360.1628192</v>
      </c>
      <c r="I19" s="29">
        <f>PRODUCCION!I6*CONSUMOS!$F11</f>
        <v>370.96770377600001</v>
      </c>
      <c r="J19" s="29">
        <f>PRODUCCION!J6*CONSUMOS!$F11</f>
        <v>382.09673488928001</v>
      </c>
      <c r="K19" s="29">
        <f>PRODUCCION!K6*CONSUMOS!$F11</f>
        <v>393.55963693595839</v>
      </c>
      <c r="L19" s="29">
        <f>PRODUCCION!L6*CONSUMOS!$F11</f>
        <v>405.36642604403715</v>
      </c>
      <c r="M19" s="29">
        <f>PRODUCCION!M6*CONSUMOS!$F11</f>
        <v>417.52741882535827</v>
      </c>
      <c r="N19" s="29">
        <f>PRODUCCION!N6*CONSUMOS!$F11</f>
        <v>430.05324139011901</v>
      </c>
      <c r="O19" s="29">
        <f>PRODUCCION!O6*CONSUMOS!$F11</f>
        <v>442.95483863182255</v>
      </c>
      <c r="P19" s="29">
        <f>SUM(D19:O19)</f>
        <v>4541.4494596925761</v>
      </c>
    </row>
    <row r="22" spans="1:17" x14ac:dyDescent="0.25">
      <c r="A22" s="3" t="s">
        <v>63</v>
      </c>
    </row>
    <row r="24" spans="1:17" ht="30" x14ac:dyDescent="0.25">
      <c r="B24" s="46" t="s">
        <v>1</v>
      </c>
      <c r="C24" s="31" t="s">
        <v>64</v>
      </c>
      <c r="D24" s="6" t="s">
        <v>3</v>
      </c>
      <c r="E24" s="6" t="s">
        <v>19</v>
      </c>
      <c r="F24" s="6" t="s">
        <v>20</v>
      </c>
      <c r="G24" s="6" t="s">
        <v>21</v>
      </c>
      <c r="H24" s="6" t="s">
        <v>22</v>
      </c>
      <c r="I24" s="6" t="s">
        <v>23</v>
      </c>
      <c r="J24" s="6" t="s">
        <v>24</v>
      </c>
      <c r="K24" s="6" t="s">
        <v>25</v>
      </c>
      <c r="L24" s="6" t="s">
        <v>26</v>
      </c>
      <c r="M24" s="6" t="s">
        <v>27</v>
      </c>
      <c r="N24" s="6" t="s">
        <v>28</v>
      </c>
      <c r="O24" s="6" t="s">
        <v>29</v>
      </c>
      <c r="P24" s="6" t="s">
        <v>30</v>
      </c>
      <c r="Q24" s="6" t="s">
        <v>31</v>
      </c>
    </row>
    <row r="25" spans="1:17" x14ac:dyDescent="0.25">
      <c r="B25" s="17">
        <v>1</v>
      </c>
      <c r="C25" s="44" t="str">
        <f>PRODUCTOS!E17</f>
        <v>CAFÉ PERGAMINO (MORMON AMARILLO)</v>
      </c>
      <c r="D25" s="8" t="s">
        <v>52</v>
      </c>
      <c r="E25" s="29">
        <f>D15</f>
        <v>320</v>
      </c>
      <c r="F25" s="29">
        <f t="shared" ref="F25:P25" si="0">E15</f>
        <v>329.6</v>
      </c>
      <c r="G25" s="29">
        <f t="shared" si="0"/>
        <v>339.488</v>
      </c>
      <c r="H25" s="29">
        <f t="shared" si="0"/>
        <v>349.67264</v>
      </c>
      <c r="I25" s="29">
        <f t="shared" si="0"/>
        <v>360.1628192</v>
      </c>
      <c r="J25" s="29">
        <f t="shared" si="0"/>
        <v>370.96770377600001</v>
      </c>
      <c r="K25" s="29">
        <f t="shared" si="0"/>
        <v>382.09673488928001</v>
      </c>
      <c r="L25" s="29">
        <f t="shared" si="0"/>
        <v>393.55963693595839</v>
      </c>
      <c r="M25" s="29">
        <f t="shared" si="0"/>
        <v>405.36642604403715</v>
      </c>
      <c r="N25" s="29">
        <f t="shared" si="0"/>
        <v>417.52741882535827</v>
      </c>
      <c r="O25" s="29">
        <f t="shared" si="0"/>
        <v>430.05324139011901</v>
      </c>
      <c r="P25" s="29">
        <f t="shared" si="0"/>
        <v>442.95483863182255</v>
      </c>
      <c r="Q25" s="29">
        <f>SUM(E25:P25)</f>
        <v>4541.4494596925761</v>
      </c>
    </row>
    <row r="26" spans="1:17" x14ac:dyDescent="0.25">
      <c r="B26" s="17">
        <v>2</v>
      </c>
      <c r="C26" s="44" t="str">
        <f>PRODUCTOS!E18</f>
        <v>BOLSA CON VALVULA DOSIFICADORA</v>
      </c>
      <c r="D26" s="8" t="s">
        <v>53</v>
      </c>
      <c r="E26" s="29">
        <f>D19</f>
        <v>320</v>
      </c>
      <c r="F26" s="29">
        <f t="shared" ref="F26:P26" si="1">E19</f>
        <v>329.6</v>
      </c>
      <c r="G26" s="29">
        <f t="shared" si="1"/>
        <v>339.488</v>
      </c>
      <c r="H26" s="29">
        <f t="shared" si="1"/>
        <v>349.67264</v>
      </c>
      <c r="I26" s="29">
        <f t="shared" si="1"/>
        <v>360.1628192</v>
      </c>
      <c r="J26" s="29">
        <f t="shared" si="1"/>
        <v>370.96770377600001</v>
      </c>
      <c r="K26" s="29">
        <f t="shared" si="1"/>
        <v>382.09673488928001</v>
      </c>
      <c r="L26" s="29">
        <f t="shared" si="1"/>
        <v>393.55963693595839</v>
      </c>
      <c r="M26" s="29">
        <f t="shared" si="1"/>
        <v>405.36642604403715</v>
      </c>
      <c r="N26" s="29">
        <f t="shared" si="1"/>
        <v>417.52741882535827</v>
      </c>
      <c r="O26" s="29">
        <f t="shared" si="1"/>
        <v>430.05324139011901</v>
      </c>
      <c r="P26" s="29">
        <f t="shared" si="1"/>
        <v>442.95483863182255</v>
      </c>
      <c r="Q26" s="29">
        <f>SUM(E26:P26)</f>
        <v>4541.4494596925761</v>
      </c>
    </row>
    <row r="29" spans="1:17" x14ac:dyDescent="0.25">
      <c r="A29" s="3" t="s">
        <v>66</v>
      </c>
    </row>
    <row r="31" spans="1:17" x14ac:dyDescent="0.25">
      <c r="B31" s="46" t="s">
        <v>1</v>
      </c>
      <c r="C31" s="31" t="s">
        <v>64</v>
      </c>
      <c r="D31" s="6" t="s">
        <v>19</v>
      </c>
      <c r="E31" s="6" t="s">
        <v>20</v>
      </c>
      <c r="F31" s="6" t="s">
        <v>21</v>
      </c>
      <c r="G31" s="6" t="s">
        <v>22</v>
      </c>
      <c r="H31" s="6" t="s">
        <v>23</v>
      </c>
      <c r="I31" s="6" t="s">
        <v>24</v>
      </c>
      <c r="J31" s="6" t="s">
        <v>25</v>
      </c>
      <c r="K31" s="6" t="s">
        <v>26</v>
      </c>
      <c r="L31" s="6" t="s">
        <v>27</v>
      </c>
      <c r="M31" s="6" t="s">
        <v>28</v>
      </c>
      <c r="N31" s="6" t="s">
        <v>29</v>
      </c>
      <c r="O31" s="6" t="s">
        <v>30</v>
      </c>
      <c r="P31" s="6" t="s">
        <v>31</v>
      </c>
    </row>
    <row r="32" spans="1:17" x14ac:dyDescent="0.25">
      <c r="B32" s="17">
        <v>1</v>
      </c>
      <c r="C32" s="8" t="str">
        <f>C25</f>
        <v>CAFÉ PERGAMINO (MORMON AMARILLO)</v>
      </c>
      <c r="D32" s="29">
        <f>E25*PRODUCTOS!$G17</f>
        <v>1088000</v>
      </c>
      <c r="E32" s="29">
        <f>F25*PRODUCTOS!$G17</f>
        <v>1120640</v>
      </c>
      <c r="F32" s="29">
        <f>G25*PRODUCTOS!$G17</f>
        <v>1154259.2</v>
      </c>
      <c r="G32" s="29">
        <f>H25*PRODUCTOS!$G17</f>
        <v>1188886.976</v>
      </c>
      <c r="H32" s="29">
        <f>I25*PRODUCTOS!$G17</f>
        <v>1224553.58528</v>
      </c>
      <c r="I32" s="29">
        <f>J25*PRODUCTOS!$G17</f>
        <v>1261290.1928384001</v>
      </c>
      <c r="J32" s="29">
        <f>K25*PRODUCTOS!$G17</f>
        <v>1299128.8986235519</v>
      </c>
      <c r="K32" s="29">
        <f>L25*PRODUCTOS!$G17</f>
        <v>1338102.7655822586</v>
      </c>
      <c r="L32" s="29">
        <f>M25*PRODUCTOS!$G17</f>
        <v>1378245.8485497264</v>
      </c>
      <c r="M32" s="29">
        <f>N25*PRODUCTOS!$G17</f>
        <v>1419593.2240062181</v>
      </c>
      <c r="N32" s="29">
        <f>O25*PRODUCTOS!$G17</f>
        <v>1462181.0207264046</v>
      </c>
      <c r="O32" s="29">
        <f>P25*PRODUCTOS!$G17</f>
        <v>1506046.4513481967</v>
      </c>
      <c r="P32" s="29">
        <f>SUM(D32:O32)</f>
        <v>15440928.162954757</v>
      </c>
    </row>
    <row r="33" spans="2:16" x14ac:dyDescent="0.25">
      <c r="B33" s="17">
        <v>2</v>
      </c>
      <c r="C33" s="8" t="str">
        <f>C26</f>
        <v>BOLSA CON VALVULA DOSIFICADORA</v>
      </c>
      <c r="D33" s="29">
        <f>E26*PRODUCTOS!$G18</f>
        <v>224000</v>
      </c>
      <c r="E33" s="29">
        <f>F26*PRODUCTOS!$G18</f>
        <v>230720.00000000003</v>
      </c>
      <c r="F33" s="29">
        <f>G26*PRODUCTOS!$G18</f>
        <v>237641.60000000001</v>
      </c>
      <c r="G33" s="29">
        <f>H26*PRODUCTOS!$G18</f>
        <v>244770.848</v>
      </c>
      <c r="H33" s="29">
        <f>I26*PRODUCTOS!$G18</f>
        <v>252113.97344</v>
      </c>
      <c r="I33" s="29">
        <f>J26*PRODUCTOS!$G18</f>
        <v>259677.3926432</v>
      </c>
      <c r="J33" s="29">
        <f>K26*PRODUCTOS!$G18</f>
        <v>267467.71442249604</v>
      </c>
      <c r="K33" s="29">
        <f>L26*PRODUCTOS!$G18</f>
        <v>275491.74585517088</v>
      </c>
      <c r="L33" s="29">
        <f>M26*PRODUCTOS!$G18</f>
        <v>283756.49823082599</v>
      </c>
      <c r="M33" s="29">
        <f>N26*PRODUCTOS!$G18</f>
        <v>292269.1931777508</v>
      </c>
      <c r="N33" s="29">
        <f>O26*PRODUCTOS!$G18</f>
        <v>301037.26897308329</v>
      </c>
      <c r="O33" s="29">
        <f>P26*PRODUCTOS!$G18</f>
        <v>310068.3870422758</v>
      </c>
      <c r="P33" s="29">
        <f>SUM(D33:O33)</f>
        <v>3179014.6217848025</v>
      </c>
    </row>
    <row r="34" spans="2:16" x14ac:dyDescent="0.25">
      <c r="B34" s="47"/>
      <c r="C34" s="32" t="s">
        <v>67</v>
      </c>
      <c r="D34" s="33">
        <f>D32+D33</f>
        <v>1312000</v>
      </c>
      <c r="E34" s="33">
        <f t="shared" ref="E34:P34" si="2">E32+E33</f>
        <v>1351360</v>
      </c>
      <c r="F34" s="33">
        <f t="shared" si="2"/>
        <v>1391900.8</v>
      </c>
      <c r="G34" s="33">
        <f t="shared" si="2"/>
        <v>1433657.824</v>
      </c>
      <c r="H34" s="33">
        <f t="shared" si="2"/>
        <v>1476667.5587200001</v>
      </c>
      <c r="I34" s="33">
        <f t="shared" si="2"/>
        <v>1520967.5854816001</v>
      </c>
      <c r="J34" s="33">
        <f t="shared" si="2"/>
        <v>1566596.613046048</v>
      </c>
      <c r="K34" s="33">
        <f t="shared" si="2"/>
        <v>1613594.5114374296</v>
      </c>
      <c r="L34" s="33">
        <f t="shared" si="2"/>
        <v>1662002.3467805525</v>
      </c>
      <c r="M34" s="33">
        <f t="shared" si="2"/>
        <v>1711862.4171839689</v>
      </c>
      <c r="N34" s="33">
        <f t="shared" si="2"/>
        <v>1763218.2896994879</v>
      </c>
      <c r="O34" s="33">
        <f t="shared" si="2"/>
        <v>1816114.8383904726</v>
      </c>
      <c r="P34" s="33">
        <f t="shared" si="2"/>
        <v>18619942.784739561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R43"/>
  <sheetViews>
    <sheetView workbookViewId="0">
      <selection activeCell="J15" sqref="J15"/>
    </sheetView>
  </sheetViews>
  <sheetFormatPr baseColWidth="10" defaultRowHeight="15" x14ac:dyDescent="0.25"/>
  <cols>
    <col min="1" max="1" width="11.42578125" style="50"/>
    <col min="2" max="2" width="30.28515625" style="50" bestFit="1" customWidth="1"/>
    <col min="3" max="3" width="13.140625" style="50" bestFit="1" customWidth="1"/>
    <col min="4" max="6" width="11.5703125" style="50" bestFit="1" customWidth="1"/>
    <col min="7" max="7" width="19.42578125" style="50" customWidth="1"/>
    <col min="8" max="14" width="13.140625" style="50" bestFit="1" customWidth="1"/>
    <col min="15" max="15" width="14.140625" style="50" bestFit="1" customWidth="1"/>
    <col min="16" max="16384" width="11.42578125" style="50"/>
  </cols>
  <sheetData>
    <row r="3" spans="2:18" ht="27" customHeight="1" x14ac:dyDescent="0.25">
      <c r="G3" s="138" t="str">
        <f>PRODUCTOS!I4</f>
        <v>CAFÉ TIPO GOURMET</v>
      </c>
    </row>
    <row r="6" spans="2:18" x14ac:dyDescent="0.25">
      <c r="B6" s="52" t="s">
        <v>68</v>
      </c>
      <c r="C6" s="53" t="s">
        <v>19</v>
      </c>
      <c r="D6" s="53" t="s">
        <v>20</v>
      </c>
      <c r="E6" s="53" t="s">
        <v>21</v>
      </c>
      <c r="F6" s="53" t="s">
        <v>22</v>
      </c>
      <c r="G6" s="53" t="s">
        <v>23</v>
      </c>
      <c r="H6" s="53" t="s">
        <v>24</v>
      </c>
      <c r="I6" s="53" t="s">
        <v>25</v>
      </c>
      <c r="J6" s="53" t="s">
        <v>26</v>
      </c>
      <c r="K6" s="53" t="s">
        <v>27</v>
      </c>
      <c r="L6" s="53" t="s">
        <v>28</v>
      </c>
      <c r="M6" s="53" t="s">
        <v>29</v>
      </c>
      <c r="N6" s="53" t="s">
        <v>30</v>
      </c>
      <c r="O6" s="53" t="s">
        <v>31</v>
      </c>
    </row>
    <row r="7" spans="2:18" x14ac:dyDescent="0.25">
      <c r="B7" s="29" t="s">
        <v>69</v>
      </c>
      <c r="C7" s="29">
        <f>CONSUMOS!D34</f>
        <v>1312000</v>
      </c>
      <c r="D7" s="29">
        <f>CONSUMOS!E34</f>
        <v>1351360</v>
      </c>
      <c r="E7" s="29">
        <f>CONSUMOS!F34</f>
        <v>1391900.8</v>
      </c>
      <c r="F7" s="29">
        <f>CONSUMOS!G34</f>
        <v>1433657.824</v>
      </c>
      <c r="G7" s="29">
        <f>CONSUMOS!H34</f>
        <v>1476667.5587200001</v>
      </c>
      <c r="H7" s="29">
        <f>CONSUMOS!I34</f>
        <v>1520967.5854816001</v>
      </c>
      <c r="I7" s="29">
        <f>CONSUMOS!J34</f>
        <v>1566596.613046048</v>
      </c>
      <c r="J7" s="29">
        <f>CONSUMOS!K34</f>
        <v>1613594.5114374296</v>
      </c>
      <c r="K7" s="29">
        <f>CONSUMOS!L34</f>
        <v>1662002.3467805525</v>
      </c>
      <c r="L7" s="29">
        <f>CONSUMOS!M34</f>
        <v>1711862.4171839689</v>
      </c>
      <c r="M7" s="29">
        <f>CONSUMOS!N34</f>
        <v>1763218.2896994879</v>
      </c>
      <c r="N7" s="29">
        <f>CONSUMOS!O34</f>
        <v>1816114.8383904726</v>
      </c>
      <c r="O7" s="29">
        <f>SUM(C7:N7)</f>
        <v>18619942.784739561</v>
      </c>
    </row>
    <row r="8" spans="2:18" x14ac:dyDescent="0.25">
      <c r="B8" s="29" t="s">
        <v>70</v>
      </c>
      <c r="C8" s="29">
        <f>VENTAS!C7*GASTOS!$Q8</f>
        <v>1280000</v>
      </c>
      <c r="D8" s="29">
        <f>VENTAS!D7*GASTOS!$Q8</f>
        <v>1318400</v>
      </c>
      <c r="E8" s="29">
        <f>VENTAS!E7*GASTOS!$Q8</f>
        <v>1357952</v>
      </c>
      <c r="F8" s="29">
        <f>VENTAS!F7*GASTOS!$Q8</f>
        <v>1398690.56</v>
      </c>
      <c r="G8" s="29">
        <f>VENTAS!G7*GASTOS!$Q8</f>
        <v>1440651.2768000001</v>
      </c>
      <c r="H8" s="29">
        <f>VENTAS!H7*GASTOS!$Q8</f>
        <v>1483870.815104</v>
      </c>
      <c r="I8" s="29">
        <f>VENTAS!I7*GASTOS!$Q8</f>
        <v>1528386.93955712</v>
      </c>
      <c r="J8" s="29">
        <f>VENTAS!J7*GASTOS!$Q8</f>
        <v>1574238.5477438336</v>
      </c>
      <c r="K8" s="29">
        <f>VENTAS!K7*GASTOS!$Q8</f>
        <v>1621465.7041761486</v>
      </c>
      <c r="L8" s="29">
        <f>VENTAS!L7*GASTOS!$Q8</f>
        <v>1670109.6753014331</v>
      </c>
      <c r="M8" s="29">
        <f>VENTAS!M7*GASTOS!$Q8</f>
        <v>1720212.9655604761</v>
      </c>
      <c r="N8" s="29">
        <f>VENTAS!N7*GASTOS!$Q8</f>
        <v>1771819.3545272902</v>
      </c>
      <c r="O8" s="29">
        <f>SUM(C8:N8)</f>
        <v>18165797.8387703</v>
      </c>
      <c r="Q8" s="50">
        <v>4000</v>
      </c>
      <c r="R8" s="50" t="s">
        <v>71</v>
      </c>
    </row>
    <row r="9" spans="2:18" x14ac:dyDescent="0.25">
      <c r="B9" s="29" t="s">
        <v>72</v>
      </c>
      <c r="C9" s="29">
        <f>INVERSIONES!K$8</f>
        <v>125000</v>
      </c>
      <c r="D9" s="29">
        <f>INVERSIONES!$K8</f>
        <v>125000</v>
      </c>
      <c r="E9" s="29">
        <f>INVERSIONES!$K8</f>
        <v>125000</v>
      </c>
      <c r="F9" s="29">
        <f>INVERSIONES!$K8</f>
        <v>125000</v>
      </c>
      <c r="G9" s="29">
        <f>INVERSIONES!$K8</f>
        <v>125000</v>
      </c>
      <c r="H9" s="29">
        <f>INVERSIONES!$K8</f>
        <v>125000</v>
      </c>
      <c r="I9" s="29">
        <f>INVERSIONES!$K8</f>
        <v>125000</v>
      </c>
      <c r="J9" s="29">
        <f>INVERSIONES!$K8</f>
        <v>125000</v>
      </c>
      <c r="K9" s="29">
        <f>INVERSIONES!$K8</f>
        <v>125000</v>
      </c>
      <c r="L9" s="29">
        <f>INVERSIONES!$K8</f>
        <v>125000</v>
      </c>
      <c r="M9" s="29">
        <f>INVERSIONES!$K8</f>
        <v>125000</v>
      </c>
      <c r="N9" s="29">
        <f>INVERSIONES!$K8</f>
        <v>125000</v>
      </c>
      <c r="O9" s="29">
        <f>SUM(C9:N9)</f>
        <v>1500000</v>
      </c>
    </row>
    <row r="10" spans="2:18" s="51" customFormat="1" x14ac:dyDescent="0.25">
      <c r="B10" s="33" t="s">
        <v>82</v>
      </c>
      <c r="C10" s="33">
        <f>C7+C8+C9</f>
        <v>2717000</v>
      </c>
      <c r="D10" s="33">
        <f>D7+D8+D9</f>
        <v>2794760</v>
      </c>
      <c r="E10" s="33">
        <f t="shared" ref="E10:O10" si="0">E7+E8+E9</f>
        <v>2874852.8</v>
      </c>
      <c r="F10" s="33">
        <f t="shared" si="0"/>
        <v>2957348.3840000001</v>
      </c>
      <c r="G10" s="33">
        <f t="shared" si="0"/>
        <v>3042318.8355200002</v>
      </c>
      <c r="H10" s="33">
        <f t="shared" si="0"/>
        <v>3129838.4005856002</v>
      </c>
      <c r="I10" s="33">
        <f t="shared" si="0"/>
        <v>3219983.5526031679</v>
      </c>
      <c r="J10" s="33">
        <f t="shared" si="0"/>
        <v>3312833.0591812632</v>
      </c>
      <c r="K10" s="33">
        <f t="shared" si="0"/>
        <v>3408468.0509567009</v>
      </c>
      <c r="L10" s="33">
        <f t="shared" si="0"/>
        <v>3506972.0924854018</v>
      </c>
      <c r="M10" s="33">
        <f t="shared" si="0"/>
        <v>3608431.2552599637</v>
      </c>
      <c r="N10" s="33">
        <f t="shared" si="0"/>
        <v>3712934.1929177628</v>
      </c>
      <c r="O10" s="33">
        <f t="shared" si="0"/>
        <v>38285740.623509862</v>
      </c>
    </row>
    <row r="13" spans="2:18" x14ac:dyDescent="0.25">
      <c r="B13" s="52" t="s">
        <v>68</v>
      </c>
      <c r="C13" s="53" t="s">
        <v>33</v>
      </c>
      <c r="D13" s="53" t="s">
        <v>34</v>
      </c>
      <c r="E13" s="53" t="s">
        <v>35</v>
      </c>
      <c r="F13" s="53" t="s">
        <v>36</v>
      </c>
      <c r="G13" s="53" t="s">
        <v>37</v>
      </c>
    </row>
    <row r="14" spans="2:18" x14ac:dyDescent="0.25">
      <c r="B14" s="29" t="s">
        <v>69</v>
      </c>
      <c r="C14" s="29">
        <f>O7</f>
        <v>18619942.784739561</v>
      </c>
      <c r="D14" s="29">
        <f>VENTAS!D31</f>
        <v>19737139.351823933</v>
      </c>
      <c r="E14" s="29">
        <f>VENTAS!E31</f>
        <v>20921367.712933373</v>
      </c>
      <c r="F14" s="29">
        <f>VENTAS!F31</f>
        <v>22176649.775709372</v>
      </c>
      <c r="G14" s="29">
        <f>VENTAS!G31</f>
        <v>23507248.762251936</v>
      </c>
    </row>
    <row r="15" spans="2:18" x14ac:dyDescent="0.25">
      <c r="B15" s="29" t="s">
        <v>70</v>
      </c>
      <c r="C15" s="29">
        <f>O8</f>
        <v>18165797.8387703</v>
      </c>
      <c r="D15" s="29">
        <f>VENTAS!D14*GASTOS!Q8</f>
        <v>19255745.709096521</v>
      </c>
      <c r="E15" s="29">
        <f>VENTAS!E14*GASTOS!Q8</f>
        <v>20411090.451642316</v>
      </c>
      <c r="F15" s="29">
        <f>VENTAS!F14*GASTOS!Q8</f>
        <v>21635755.878740851</v>
      </c>
      <c r="G15" s="29">
        <f>VENTAS!G14*GASTOS!Q8</f>
        <v>22933901.231465306</v>
      </c>
    </row>
    <row r="16" spans="2:18" x14ac:dyDescent="0.25">
      <c r="B16" s="29" t="s">
        <v>72</v>
      </c>
      <c r="C16" s="29">
        <f>O9</f>
        <v>1500000</v>
      </c>
      <c r="D16" s="29">
        <f>C16</f>
        <v>1500000</v>
      </c>
      <c r="E16" s="29">
        <f t="shared" ref="E16:G16" si="1">D16</f>
        <v>1500000</v>
      </c>
      <c r="F16" s="29">
        <f t="shared" si="1"/>
        <v>1500000</v>
      </c>
      <c r="G16" s="29">
        <f t="shared" si="1"/>
        <v>1500000</v>
      </c>
    </row>
    <row r="17" spans="2:15" s="51" customFormat="1" x14ac:dyDescent="0.25">
      <c r="B17" s="33" t="s">
        <v>82</v>
      </c>
      <c r="C17" s="33">
        <f>C14+C15+C16</f>
        <v>38285740.623509862</v>
      </c>
      <c r="D17" s="33">
        <f t="shared" ref="D17:G17" si="2">D14+D15+D16</f>
        <v>40492885.060920455</v>
      </c>
      <c r="E17" s="33">
        <f t="shared" si="2"/>
        <v>42832458.164575689</v>
      </c>
      <c r="F17" s="33">
        <f t="shared" si="2"/>
        <v>45312405.654450223</v>
      </c>
      <c r="G17" s="33">
        <f t="shared" si="2"/>
        <v>47941149.993717238</v>
      </c>
    </row>
    <row r="21" spans="2:15" x14ac:dyDescent="0.25">
      <c r="B21" s="52" t="s">
        <v>83</v>
      </c>
      <c r="C21" s="53" t="s">
        <v>19</v>
      </c>
      <c r="D21" s="53" t="s">
        <v>20</v>
      </c>
      <c r="E21" s="53" t="s">
        <v>21</v>
      </c>
      <c r="F21" s="53" t="s">
        <v>22</v>
      </c>
      <c r="G21" s="53" t="s">
        <v>23</v>
      </c>
      <c r="H21" s="53" t="s">
        <v>24</v>
      </c>
      <c r="I21" s="53" t="s">
        <v>25</v>
      </c>
      <c r="J21" s="53" t="s">
        <v>26</v>
      </c>
      <c r="K21" s="53" t="s">
        <v>27</v>
      </c>
      <c r="L21" s="53" t="s">
        <v>28</v>
      </c>
      <c r="M21" s="53" t="s">
        <v>29</v>
      </c>
      <c r="N21" s="53" t="s">
        <v>30</v>
      </c>
      <c r="O21" s="53" t="s">
        <v>31</v>
      </c>
    </row>
    <row r="22" spans="2:15" x14ac:dyDescent="0.25">
      <c r="B22" s="29" t="s">
        <v>84</v>
      </c>
      <c r="C22" s="29">
        <v>869500</v>
      </c>
      <c r="D22" s="29">
        <v>869500</v>
      </c>
      <c r="E22" s="29">
        <v>869500</v>
      </c>
      <c r="F22" s="29">
        <v>869500</v>
      </c>
      <c r="G22" s="29">
        <v>869500</v>
      </c>
      <c r="H22" s="29">
        <v>869500</v>
      </c>
      <c r="I22" s="29">
        <v>869500</v>
      </c>
      <c r="J22" s="29">
        <v>869500</v>
      </c>
      <c r="K22" s="29">
        <v>869500</v>
      </c>
      <c r="L22" s="29">
        <v>869500</v>
      </c>
      <c r="M22" s="29">
        <v>869500</v>
      </c>
      <c r="N22" s="29">
        <v>869500</v>
      </c>
      <c r="O22" s="29">
        <f>SUM(C22:N22)</f>
        <v>10434000</v>
      </c>
    </row>
    <row r="23" spans="2:15" x14ac:dyDescent="0.25">
      <c r="B23" s="29" t="s">
        <v>85</v>
      </c>
      <c r="C23" s="29">
        <v>869500</v>
      </c>
      <c r="D23" s="29">
        <v>869500</v>
      </c>
      <c r="E23" s="29">
        <v>869500</v>
      </c>
      <c r="F23" s="29">
        <v>869500</v>
      </c>
      <c r="G23" s="29">
        <v>869500</v>
      </c>
      <c r="H23" s="29">
        <v>869500</v>
      </c>
      <c r="I23" s="29">
        <v>869500</v>
      </c>
      <c r="J23" s="29">
        <v>869500</v>
      </c>
      <c r="K23" s="29">
        <v>869500</v>
      </c>
      <c r="L23" s="29">
        <v>869500</v>
      </c>
      <c r="M23" s="29">
        <v>869500</v>
      </c>
      <c r="N23" s="29">
        <v>869500</v>
      </c>
      <c r="O23" s="29">
        <f>SUM(C23:N23)</f>
        <v>10434000</v>
      </c>
    </row>
    <row r="24" spans="2:15" x14ac:dyDescent="0.25">
      <c r="B24" s="29" t="s">
        <v>86</v>
      </c>
      <c r="C24" s="29">
        <v>678000</v>
      </c>
      <c r="D24" s="29">
        <v>678000</v>
      </c>
      <c r="E24" s="29">
        <v>678000</v>
      </c>
      <c r="F24" s="29">
        <v>678000</v>
      </c>
      <c r="G24" s="29">
        <v>678000</v>
      </c>
      <c r="H24" s="29">
        <v>678000</v>
      </c>
      <c r="I24" s="29">
        <v>678000</v>
      </c>
      <c r="J24" s="29">
        <v>678000</v>
      </c>
      <c r="K24" s="29">
        <v>678000</v>
      </c>
      <c r="L24" s="29">
        <v>678000</v>
      </c>
      <c r="M24" s="29">
        <v>678000</v>
      </c>
      <c r="N24" s="29">
        <v>678000</v>
      </c>
      <c r="O24" s="29">
        <f t="shared" ref="O24:O30" si="3">SUM(C24:N24)</f>
        <v>8136000</v>
      </c>
    </row>
    <row r="25" spans="2:15" x14ac:dyDescent="0.25">
      <c r="B25" s="29" t="s">
        <v>87</v>
      </c>
      <c r="C25" s="29">
        <v>100000</v>
      </c>
      <c r="D25" s="29">
        <v>100000</v>
      </c>
      <c r="E25" s="29">
        <v>100000</v>
      </c>
      <c r="F25" s="29">
        <v>100000</v>
      </c>
      <c r="G25" s="29">
        <v>100000</v>
      </c>
      <c r="H25" s="29">
        <v>100000</v>
      </c>
      <c r="I25" s="29">
        <v>100000</v>
      </c>
      <c r="J25" s="29">
        <v>100000</v>
      </c>
      <c r="K25" s="29">
        <v>100000</v>
      </c>
      <c r="L25" s="29">
        <v>100000</v>
      </c>
      <c r="M25" s="29">
        <v>100000</v>
      </c>
      <c r="N25" s="29">
        <v>100000</v>
      </c>
      <c r="O25" s="29">
        <f t="shared" si="3"/>
        <v>1200000</v>
      </c>
    </row>
    <row r="26" spans="2:15" x14ac:dyDescent="0.25">
      <c r="B26" s="29" t="s">
        <v>92</v>
      </c>
      <c r="C26" s="29">
        <v>200000</v>
      </c>
      <c r="D26" s="29">
        <v>200000</v>
      </c>
      <c r="E26" s="29">
        <v>200000</v>
      </c>
      <c r="F26" s="29">
        <v>200000</v>
      </c>
      <c r="G26" s="29">
        <v>200000</v>
      </c>
      <c r="H26" s="29">
        <v>200000</v>
      </c>
      <c r="I26" s="29">
        <v>200000</v>
      </c>
      <c r="J26" s="29">
        <v>200000</v>
      </c>
      <c r="K26" s="29">
        <v>200000</v>
      </c>
      <c r="L26" s="29">
        <v>200000</v>
      </c>
      <c r="M26" s="29">
        <v>200000</v>
      </c>
      <c r="N26" s="29">
        <v>200000</v>
      </c>
      <c r="O26" s="29">
        <f t="shared" si="3"/>
        <v>2400000</v>
      </c>
    </row>
    <row r="27" spans="2:15" x14ac:dyDescent="0.25">
      <c r="B27" s="29" t="s">
        <v>93</v>
      </c>
      <c r="C27" s="29">
        <v>150000</v>
      </c>
      <c r="D27" s="29">
        <v>150000</v>
      </c>
      <c r="E27" s="29">
        <v>150000</v>
      </c>
      <c r="F27" s="29">
        <v>150000</v>
      </c>
      <c r="G27" s="29">
        <v>150000</v>
      </c>
      <c r="H27" s="29">
        <v>150000</v>
      </c>
      <c r="I27" s="29">
        <v>150000</v>
      </c>
      <c r="J27" s="29">
        <v>150000</v>
      </c>
      <c r="K27" s="29">
        <v>150000</v>
      </c>
      <c r="L27" s="29">
        <v>150000</v>
      </c>
      <c r="M27" s="29">
        <v>150000</v>
      </c>
      <c r="N27" s="29">
        <v>150000</v>
      </c>
      <c r="O27" s="29">
        <f>SUM(C27:N27)</f>
        <v>1800000</v>
      </c>
    </row>
    <row r="28" spans="2:15" x14ac:dyDescent="0.25">
      <c r="B28" s="29" t="s">
        <v>88</v>
      </c>
      <c r="C28" s="29">
        <f>VENTAS!C19*0.008</f>
        <v>51200</v>
      </c>
      <c r="D28" s="29">
        <f>VENTAS!D19*0.008</f>
        <v>52736</v>
      </c>
      <c r="E28" s="29">
        <f>VENTAS!E19*0.008</f>
        <v>54318.080000000002</v>
      </c>
      <c r="F28" s="29">
        <f>VENTAS!F19*0.008</f>
        <v>55947.6224</v>
      </c>
      <c r="G28" s="29">
        <f>VENTAS!G19*0.008</f>
        <v>57626.051071999995</v>
      </c>
      <c r="H28" s="29">
        <f>VENTAS!H19*0.008</f>
        <v>59354.832604160001</v>
      </c>
      <c r="I28" s="29">
        <f>VENTAS!I19*0.008</f>
        <v>61135.477582284802</v>
      </c>
      <c r="J28" s="29">
        <f>VENTAS!J19*0.008</f>
        <v>62969.541909753345</v>
      </c>
      <c r="K28" s="29">
        <f>VENTAS!K19*0.008</f>
        <v>64858.628167045943</v>
      </c>
      <c r="L28" s="29">
        <f>VENTAS!L19*0.008</f>
        <v>66804.387012057327</v>
      </c>
      <c r="M28" s="29">
        <f>VENTAS!M19*0.008</f>
        <v>68808.51862241904</v>
      </c>
      <c r="N28" s="29">
        <f>VENTAS!N19*0.008</f>
        <v>70872.774181091605</v>
      </c>
      <c r="O28" s="29">
        <f t="shared" si="3"/>
        <v>726631.91355081194</v>
      </c>
    </row>
    <row r="29" spans="2:15" x14ac:dyDescent="0.25">
      <c r="B29" s="29" t="s">
        <v>89</v>
      </c>
      <c r="C29" s="29">
        <v>50000</v>
      </c>
      <c r="D29" s="29">
        <v>50000</v>
      </c>
      <c r="E29" s="29">
        <v>50000</v>
      </c>
      <c r="F29" s="29">
        <v>50000</v>
      </c>
      <c r="G29" s="29">
        <v>50000</v>
      </c>
      <c r="H29" s="29">
        <v>50000</v>
      </c>
      <c r="I29" s="29">
        <v>50000</v>
      </c>
      <c r="J29" s="29">
        <v>50000</v>
      </c>
      <c r="K29" s="29">
        <v>50000</v>
      </c>
      <c r="L29" s="29">
        <v>50000</v>
      </c>
      <c r="M29" s="29">
        <v>50000</v>
      </c>
      <c r="N29" s="29">
        <v>50000</v>
      </c>
      <c r="O29" s="29">
        <f t="shared" si="3"/>
        <v>600000</v>
      </c>
    </row>
    <row r="30" spans="2:15" s="51" customFormat="1" x14ac:dyDescent="0.25">
      <c r="B30" s="33" t="s">
        <v>90</v>
      </c>
      <c r="C30" s="33">
        <f>SUM(C22:C29)</f>
        <v>2968200</v>
      </c>
      <c r="D30" s="33">
        <f t="shared" ref="D30:N30" si="4">SUM(D22:D29)</f>
        <v>2969736</v>
      </c>
      <c r="E30" s="33">
        <f t="shared" si="4"/>
        <v>2971318.08</v>
      </c>
      <c r="F30" s="33">
        <f t="shared" si="4"/>
        <v>2972947.6224000002</v>
      </c>
      <c r="G30" s="33">
        <f t="shared" si="4"/>
        <v>2974626.0510720001</v>
      </c>
      <c r="H30" s="33">
        <f t="shared" si="4"/>
        <v>2976354.8326041601</v>
      </c>
      <c r="I30" s="33">
        <f t="shared" si="4"/>
        <v>2978135.4775822847</v>
      </c>
      <c r="J30" s="33">
        <f t="shared" si="4"/>
        <v>2979969.5419097533</v>
      </c>
      <c r="K30" s="33">
        <f t="shared" si="4"/>
        <v>2981858.6281670458</v>
      </c>
      <c r="L30" s="33">
        <f t="shared" si="4"/>
        <v>2983804.3870120575</v>
      </c>
      <c r="M30" s="33">
        <f t="shared" si="4"/>
        <v>2985808.5186224189</v>
      </c>
      <c r="N30" s="33">
        <f t="shared" si="4"/>
        <v>2987872.7741810917</v>
      </c>
      <c r="O30" s="33">
        <f t="shared" si="3"/>
        <v>35730631.913550809</v>
      </c>
    </row>
    <row r="34" spans="2:7" x14ac:dyDescent="0.25">
      <c r="B34" s="52" t="s">
        <v>83</v>
      </c>
      <c r="C34" s="53" t="s">
        <v>33</v>
      </c>
      <c r="D34" s="53" t="s">
        <v>34</v>
      </c>
      <c r="E34" s="53" t="s">
        <v>35</v>
      </c>
      <c r="F34" s="53" t="s">
        <v>36</v>
      </c>
      <c r="G34" s="53" t="s">
        <v>37</v>
      </c>
    </row>
    <row r="35" spans="2:7" x14ac:dyDescent="0.25">
      <c r="B35" s="29" t="s">
        <v>84</v>
      </c>
      <c r="C35" s="29">
        <f t="shared" ref="C35:C42" si="5">O22</f>
        <v>10434000</v>
      </c>
      <c r="D35" s="29">
        <f>C35+C35*7%</f>
        <v>11164380</v>
      </c>
      <c r="E35" s="29">
        <f t="shared" ref="E35:G35" si="6">D35+D35*7%</f>
        <v>11945886.6</v>
      </c>
      <c r="F35" s="29">
        <f t="shared" si="6"/>
        <v>12782098.662</v>
      </c>
      <c r="G35" s="29">
        <f t="shared" si="6"/>
        <v>13676845.56834</v>
      </c>
    </row>
    <row r="36" spans="2:7" x14ac:dyDescent="0.25">
      <c r="B36" s="29" t="s">
        <v>85</v>
      </c>
      <c r="C36" s="29">
        <f t="shared" si="5"/>
        <v>10434000</v>
      </c>
      <c r="D36" s="29">
        <f>C36+C36*7%</f>
        <v>11164380</v>
      </c>
      <c r="E36" s="29">
        <f t="shared" ref="E36:G36" si="7">D36+D36*7%</f>
        <v>11945886.6</v>
      </c>
      <c r="F36" s="29">
        <f t="shared" si="7"/>
        <v>12782098.662</v>
      </c>
      <c r="G36" s="29">
        <f t="shared" si="7"/>
        <v>13676845.56834</v>
      </c>
    </row>
    <row r="37" spans="2:7" x14ac:dyDescent="0.25">
      <c r="B37" s="29" t="s">
        <v>86</v>
      </c>
      <c r="C37" s="29">
        <f t="shared" si="5"/>
        <v>8136000</v>
      </c>
      <c r="D37" s="29">
        <f>C37+C37*7%</f>
        <v>8705520</v>
      </c>
      <c r="E37" s="29">
        <f t="shared" ref="E37:G37" si="8">D37+D37*7%</f>
        <v>9314906.4000000004</v>
      </c>
      <c r="F37" s="29">
        <f t="shared" si="8"/>
        <v>9966949.8480000012</v>
      </c>
      <c r="G37" s="29">
        <f t="shared" si="8"/>
        <v>10664636.337360002</v>
      </c>
    </row>
    <row r="38" spans="2:7" x14ac:dyDescent="0.25">
      <c r="B38" s="29" t="s">
        <v>87</v>
      </c>
      <c r="C38" s="29">
        <f t="shared" si="5"/>
        <v>1200000</v>
      </c>
      <c r="D38" s="29">
        <f t="shared" ref="D38:G43" si="9">C38+C38*7%</f>
        <v>1284000</v>
      </c>
      <c r="E38" s="29">
        <f t="shared" si="9"/>
        <v>1373880</v>
      </c>
      <c r="F38" s="29">
        <f t="shared" si="9"/>
        <v>1470051.6</v>
      </c>
      <c r="G38" s="29">
        <f t="shared" si="9"/>
        <v>1572955.2120000001</v>
      </c>
    </row>
    <row r="39" spans="2:7" x14ac:dyDescent="0.25">
      <c r="B39" s="29" t="s">
        <v>92</v>
      </c>
      <c r="C39" s="29">
        <f t="shared" si="5"/>
        <v>2400000</v>
      </c>
      <c r="D39" s="29">
        <f>C39+C39*7%</f>
        <v>2568000</v>
      </c>
      <c r="E39" s="29">
        <f t="shared" si="9"/>
        <v>2747760</v>
      </c>
      <c r="F39" s="29">
        <f t="shared" si="9"/>
        <v>2940103.2</v>
      </c>
      <c r="G39" s="29">
        <f t="shared" si="9"/>
        <v>3145910.4240000001</v>
      </c>
    </row>
    <row r="40" spans="2:7" x14ac:dyDescent="0.25">
      <c r="B40" s="29" t="s">
        <v>93</v>
      </c>
      <c r="C40" s="29">
        <f t="shared" si="5"/>
        <v>1800000</v>
      </c>
      <c r="D40" s="29">
        <f>C40+C40*7%</f>
        <v>1926000</v>
      </c>
      <c r="E40" s="29">
        <f t="shared" si="9"/>
        <v>2060820</v>
      </c>
      <c r="F40" s="29">
        <f t="shared" si="9"/>
        <v>2205077.4</v>
      </c>
      <c r="G40" s="29">
        <f t="shared" si="9"/>
        <v>2359432.818</v>
      </c>
    </row>
    <row r="41" spans="2:7" x14ac:dyDescent="0.25">
      <c r="B41" s="29" t="s">
        <v>88</v>
      </c>
      <c r="C41" s="29">
        <f t="shared" si="5"/>
        <v>726631.91355081194</v>
      </c>
      <c r="D41" s="29">
        <f t="shared" si="9"/>
        <v>777496.14749936876</v>
      </c>
      <c r="E41" s="29">
        <f t="shared" si="9"/>
        <v>831920.87782432453</v>
      </c>
      <c r="F41" s="29">
        <f t="shared" si="9"/>
        <v>890155.33927202725</v>
      </c>
      <c r="G41" s="29">
        <f t="shared" si="9"/>
        <v>952466.21302106918</v>
      </c>
    </row>
    <row r="42" spans="2:7" x14ac:dyDescent="0.25">
      <c r="B42" s="29" t="s">
        <v>89</v>
      </c>
      <c r="C42" s="29">
        <f t="shared" si="5"/>
        <v>600000</v>
      </c>
      <c r="D42" s="29">
        <f t="shared" si="9"/>
        <v>642000</v>
      </c>
      <c r="E42" s="29">
        <f t="shared" si="9"/>
        <v>686940</v>
      </c>
      <c r="F42" s="29">
        <f t="shared" si="9"/>
        <v>735025.8</v>
      </c>
      <c r="G42" s="29">
        <f t="shared" si="9"/>
        <v>786477.60600000003</v>
      </c>
    </row>
    <row r="43" spans="2:7" s="51" customFormat="1" x14ac:dyDescent="0.25">
      <c r="B43" s="33" t="s">
        <v>90</v>
      </c>
      <c r="C43" s="33">
        <f>SUM(C35:C42)</f>
        <v>35730631.913550809</v>
      </c>
      <c r="D43" s="33">
        <f t="shared" si="9"/>
        <v>38231776.147499368</v>
      </c>
      <c r="E43" s="33">
        <f t="shared" si="9"/>
        <v>40908000.477824323</v>
      </c>
      <c r="F43" s="33">
        <f t="shared" si="9"/>
        <v>43771560.511272028</v>
      </c>
      <c r="G43" s="33">
        <f t="shared" si="9"/>
        <v>46835569.747061074</v>
      </c>
    </row>
  </sheetData>
  <pageMargins left="0.7" right="0.7" top="0.75" bottom="0.75" header="0.3" footer="0.3"/>
  <pageSetup paperSize="0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4:Q16"/>
  <sheetViews>
    <sheetView workbookViewId="0">
      <selection activeCell="P13" sqref="P13"/>
    </sheetView>
  </sheetViews>
  <sheetFormatPr baseColWidth="10" defaultRowHeight="15" x14ac:dyDescent="0.25"/>
  <cols>
    <col min="1" max="1" width="11.42578125" style="3"/>
    <col min="2" max="2" width="11.5703125" style="55" bestFit="1" customWidth="1"/>
    <col min="3" max="3" width="24.5703125" style="3" bestFit="1" customWidth="1"/>
    <col min="4" max="4" width="13.28515625" style="3" bestFit="1" customWidth="1"/>
    <col min="5" max="5" width="10.5703125" style="3" bestFit="1" customWidth="1"/>
    <col min="6" max="6" width="10.28515625" style="3" customWidth="1"/>
    <col min="7" max="7" width="11" style="3" customWidth="1"/>
    <col min="8" max="8" width="10.28515625" style="3" customWidth="1"/>
    <col min="9" max="9" width="10.5703125" style="3" bestFit="1" customWidth="1"/>
    <col min="10" max="10" width="10.85546875" style="3" customWidth="1"/>
    <col min="11" max="15" width="10.5703125" style="3" bestFit="1" customWidth="1"/>
    <col min="16" max="16" width="11.42578125" style="3" customWidth="1"/>
    <col min="17" max="16384" width="11.42578125" style="3"/>
  </cols>
  <sheetData>
    <row r="4" spans="2:17" x14ac:dyDescent="0.25">
      <c r="H4" s="4" t="s">
        <v>0</v>
      </c>
    </row>
    <row r="7" spans="2:17" x14ac:dyDescent="0.25">
      <c r="B7" s="54" t="s">
        <v>73</v>
      </c>
      <c r="C7" s="31" t="s">
        <v>74</v>
      </c>
      <c r="D7" s="6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  <c r="K7" s="6" t="s">
        <v>26</v>
      </c>
      <c r="L7" s="6" t="s">
        <v>27</v>
      </c>
      <c r="M7" s="6" t="s">
        <v>28</v>
      </c>
      <c r="N7" s="6" t="s">
        <v>29</v>
      </c>
      <c r="O7" s="6" t="s">
        <v>30</v>
      </c>
      <c r="P7" s="6" t="s">
        <v>31</v>
      </c>
    </row>
    <row r="8" spans="2:17" x14ac:dyDescent="0.25">
      <c r="B8" s="56"/>
      <c r="C8" s="8" t="s">
        <v>75</v>
      </c>
      <c r="D8" s="29">
        <f>VENTAS!C20</f>
        <v>6400000</v>
      </c>
      <c r="E8" s="29">
        <f>VENTAS!D20</f>
        <v>6592000</v>
      </c>
      <c r="F8" s="29">
        <f>VENTAS!E20</f>
        <v>6789760</v>
      </c>
      <c r="G8" s="29">
        <f>VENTAS!F20</f>
        <v>6993452.7999999998</v>
      </c>
      <c r="H8" s="29">
        <f>VENTAS!G20</f>
        <v>7203256.3839999996</v>
      </c>
      <c r="I8" s="29">
        <f>VENTAS!H20</f>
        <v>7419354.0755200004</v>
      </c>
      <c r="J8" s="29">
        <f>VENTAS!I20</f>
        <v>7641934.6977856001</v>
      </c>
      <c r="K8" s="29">
        <f>VENTAS!J20</f>
        <v>7871192.7387191681</v>
      </c>
      <c r="L8" s="29">
        <f>VENTAS!K20</f>
        <v>8107328.5208807429</v>
      </c>
      <c r="M8" s="29">
        <f>VENTAS!L20</f>
        <v>8350548.3765071649</v>
      </c>
      <c r="N8" s="29">
        <f>VENTAS!M20</f>
        <v>8601064.8278023805</v>
      </c>
      <c r="O8" s="29">
        <f>VENTAS!N20</f>
        <v>8859096.7726364508</v>
      </c>
      <c r="P8" s="29">
        <f>SUM(D8:O8)</f>
        <v>90828989.193851501</v>
      </c>
    </row>
    <row r="9" spans="2:17" x14ac:dyDescent="0.25">
      <c r="B9" s="5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2:17" x14ac:dyDescent="0.25">
      <c r="B10" s="56">
        <v>1</v>
      </c>
      <c r="C10" s="8" t="s">
        <v>76</v>
      </c>
      <c r="D10" s="29">
        <f>D$8*B10</f>
        <v>6400000</v>
      </c>
      <c r="E10" s="29">
        <f>E$8*$B10</f>
        <v>6592000</v>
      </c>
      <c r="F10" s="29">
        <f t="shared" ref="F10:P10" si="0">F$8*$B10</f>
        <v>6789760</v>
      </c>
      <c r="G10" s="29">
        <f t="shared" si="0"/>
        <v>6993452.7999999998</v>
      </c>
      <c r="H10" s="29">
        <f t="shared" si="0"/>
        <v>7203256.3839999996</v>
      </c>
      <c r="I10" s="29">
        <f t="shared" si="0"/>
        <v>7419354.0755200004</v>
      </c>
      <c r="J10" s="29">
        <f t="shared" si="0"/>
        <v>7641934.6977856001</v>
      </c>
      <c r="K10" s="29">
        <f t="shared" si="0"/>
        <v>7871192.7387191681</v>
      </c>
      <c r="L10" s="29">
        <f t="shared" si="0"/>
        <v>8107328.5208807429</v>
      </c>
      <c r="M10" s="29">
        <f t="shared" si="0"/>
        <v>8350548.3765071649</v>
      </c>
      <c r="N10" s="29">
        <f t="shared" si="0"/>
        <v>8601064.8278023805</v>
      </c>
      <c r="O10" s="29">
        <f t="shared" si="0"/>
        <v>8859096.7726364508</v>
      </c>
      <c r="P10" s="29">
        <f t="shared" si="0"/>
        <v>90828989.193851501</v>
      </c>
    </row>
    <row r="11" spans="2:17" x14ac:dyDescent="0.25">
      <c r="B11" s="5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2:17" ht="15.75" thickBot="1" x14ac:dyDescent="0.3">
      <c r="B12" s="57">
        <v>1</v>
      </c>
      <c r="C12" s="32" t="s">
        <v>31</v>
      </c>
      <c r="D12" s="33">
        <f>D10</f>
        <v>6400000</v>
      </c>
      <c r="E12" s="33">
        <f t="shared" ref="E12:P12" si="1">E10</f>
        <v>6592000</v>
      </c>
      <c r="F12" s="33">
        <f t="shared" si="1"/>
        <v>6789760</v>
      </c>
      <c r="G12" s="33">
        <f t="shared" si="1"/>
        <v>6993452.7999999998</v>
      </c>
      <c r="H12" s="33">
        <f t="shared" si="1"/>
        <v>7203256.3839999996</v>
      </c>
      <c r="I12" s="33">
        <f t="shared" si="1"/>
        <v>7419354.0755200004</v>
      </c>
      <c r="J12" s="33">
        <f t="shared" si="1"/>
        <v>7641934.6977856001</v>
      </c>
      <c r="K12" s="33">
        <f t="shared" si="1"/>
        <v>7871192.7387191681</v>
      </c>
      <c r="L12" s="33">
        <f t="shared" si="1"/>
        <v>8107328.5208807429</v>
      </c>
      <c r="M12" s="33">
        <f t="shared" si="1"/>
        <v>8350548.3765071649</v>
      </c>
      <c r="N12" s="58">
        <f t="shared" si="1"/>
        <v>8601064.8278023805</v>
      </c>
      <c r="O12" s="58">
        <f t="shared" si="1"/>
        <v>8859096.7726364508</v>
      </c>
      <c r="P12" s="58">
        <f t="shared" si="1"/>
        <v>90828989.193851501</v>
      </c>
    </row>
    <row r="13" spans="2:17" x14ac:dyDescent="0.25">
      <c r="N13" s="59"/>
      <c r="O13" s="60"/>
      <c r="P13" s="61"/>
    </row>
    <row r="14" spans="2:17" x14ac:dyDescent="0.25">
      <c r="N14" s="62"/>
      <c r="O14" s="63"/>
      <c r="P14" s="64"/>
    </row>
    <row r="15" spans="2:17" x14ac:dyDescent="0.25">
      <c r="N15" s="65" t="s">
        <v>77</v>
      </c>
      <c r="O15" s="66"/>
      <c r="P15" s="67">
        <f>P8-P12</f>
        <v>0</v>
      </c>
      <c r="Q15" s="4"/>
    </row>
    <row r="16" spans="2:17" ht="15.75" thickBot="1" x14ac:dyDescent="0.3">
      <c r="N16" s="68"/>
      <c r="O16" s="69"/>
      <c r="P16" s="70">
        <f>P8-P12</f>
        <v>0</v>
      </c>
      <c r="Q16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3:Q15"/>
  <sheetViews>
    <sheetView workbookViewId="0">
      <selection activeCell="E7" sqref="E7"/>
    </sheetView>
  </sheetViews>
  <sheetFormatPr baseColWidth="10" defaultRowHeight="15" x14ac:dyDescent="0.25"/>
  <cols>
    <col min="1" max="2" width="11.42578125" style="3"/>
    <col min="3" max="3" width="11.42578125" style="55"/>
    <col min="4" max="4" width="24.7109375" style="3" bestFit="1" customWidth="1"/>
    <col min="5" max="5" width="10.7109375" style="3" customWidth="1"/>
    <col min="6" max="7" width="12.140625" style="3" bestFit="1" customWidth="1"/>
    <col min="8" max="8" width="10.85546875" style="3" customWidth="1"/>
    <col min="9" max="10" width="12.140625" style="3" bestFit="1" customWidth="1"/>
    <col min="11" max="11" width="10.5703125" style="3" customWidth="1"/>
    <col min="12" max="16" width="12.140625" style="3" bestFit="1" customWidth="1"/>
    <col min="17" max="17" width="13.140625" style="3" bestFit="1" customWidth="1"/>
    <col min="18" max="16384" width="11.42578125" style="3"/>
  </cols>
  <sheetData>
    <row r="3" spans="3:17" x14ac:dyDescent="0.25">
      <c r="H3" s="4" t="s">
        <v>0</v>
      </c>
    </row>
    <row r="6" spans="3:17" x14ac:dyDescent="0.25">
      <c r="C6" s="54" t="s">
        <v>73</v>
      </c>
      <c r="D6" s="31" t="s">
        <v>79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6" t="s">
        <v>28</v>
      </c>
      <c r="O6" s="6" t="s">
        <v>29</v>
      </c>
      <c r="P6" s="6" t="s">
        <v>30</v>
      </c>
      <c r="Q6" s="6" t="s">
        <v>31</v>
      </c>
    </row>
    <row r="7" spans="3:17" x14ac:dyDescent="0.25">
      <c r="C7" s="56"/>
      <c r="D7" s="8" t="s">
        <v>78</v>
      </c>
      <c r="E7" s="29">
        <f>COMPRAS!D13</f>
        <v>1312000</v>
      </c>
      <c r="F7" s="29">
        <f>COMPRAS!E13</f>
        <v>1351360</v>
      </c>
      <c r="G7" s="29">
        <f>COMPRAS!F13</f>
        <v>1391900.8</v>
      </c>
      <c r="H7" s="29">
        <f>COMPRAS!G13</f>
        <v>1433657.824</v>
      </c>
      <c r="I7" s="29">
        <f>COMPRAS!H13</f>
        <v>1476667.5587200001</v>
      </c>
      <c r="J7" s="29">
        <f>COMPRAS!I13</f>
        <v>1520967.5854816001</v>
      </c>
      <c r="K7" s="29">
        <f>COMPRAS!J13</f>
        <v>1566596.613046048</v>
      </c>
      <c r="L7" s="29">
        <f>COMPRAS!K13</f>
        <v>1613594.5114374296</v>
      </c>
      <c r="M7" s="29">
        <f>COMPRAS!L13</f>
        <v>1662002.3467805525</v>
      </c>
      <c r="N7" s="29">
        <f>COMPRAS!M13</f>
        <v>1711862.4171839689</v>
      </c>
      <c r="O7" s="29">
        <f>COMPRAS!N13</f>
        <v>1763218.2896994879</v>
      </c>
      <c r="P7" s="29">
        <f>COMPRAS!O13</f>
        <v>1816114.8383904726</v>
      </c>
      <c r="Q7" s="29">
        <f>COMPRAS!P13</f>
        <v>18619942.784739561</v>
      </c>
    </row>
    <row r="8" spans="3:17" x14ac:dyDescent="0.25">
      <c r="C8" s="5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3:17" x14ac:dyDescent="0.25">
      <c r="C9" s="56">
        <v>1</v>
      </c>
      <c r="D9" s="8" t="s">
        <v>80</v>
      </c>
      <c r="E9" s="29">
        <f>E7</f>
        <v>1312000</v>
      </c>
      <c r="F9" s="29">
        <f t="shared" ref="F9:Q9" si="0">F7</f>
        <v>1351360</v>
      </c>
      <c r="G9" s="29">
        <f t="shared" si="0"/>
        <v>1391900.8</v>
      </c>
      <c r="H9" s="29">
        <f t="shared" si="0"/>
        <v>1433657.824</v>
      </c>
      <c r="I9" s="29">
        <f t="shared" si="0"/>
        <v>1476667.5587200001</v>
      </c>
      <c r="J9" s="29">
        <f t="shared" si="0"/>
        <v>1520967.5854816001</v>
      </c>
      <c r="K9" s="29">
        <f t="shared" si="0"/>
        <v>1566596.613046048</v>
      </c>
      <c r="L9" s="29">
        <f t="shared" si="0"/>
        <v>1613594.5114374296</v>
      </c>
      <c r="M9" s="29">
        <f t="shared" si="0"/>
        <v>1662002.3467805525</v>
      </c>
      <c r="N9" s="29">
        <f t="shared" si="0"/>
        <v>1711862.4171839689</v>
      </c>
      <c r="O9" s="29">
        <f t="shared" si="0"/>
        <v>1763218.2896994879</v>
      </c>
      <c r="P9" s="29">
        <f t="shared" si="0"/>
        <v>1816114.8383904726</v>
      </c>
      <c r="Q9" s="29">
        <f t="shared" si="0"/>
        <v>18619942.784739561</v>
      </c>
    </row>
    <row r="10" spans="3:17" x14ac:dyDescent="0.25">
      <c r="C10" s="56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3:17" ht="15.75" thickBot="1" x14ac:dyDescent="0.3">
      <c r="C11" s="57">
        <v>1</v>
      </c>
      <c r="D11" s="32" t="s">
        <v>31</v>
      </c>
      <c r="E11" s="33">
        <f>E9</f>
        <v>1312000</v>
      </c>
      <c r="F11" s="33">
        <f t="shared" ref="F11:Q11" si="1">F9</f>
        <v>1351360</v>
      </c>
      <c r="G11" s="33">
        <f t="shared" si="1"/>
        <v>1391900.8</v>
      </c>
      <c r="H11" s="33">
        <f t="shared" si="1"/>
        <v>1433657.824</v>
      </c>
      <c r="I11" s="33">
        <f t="shared" si="1"/>
        <v>1476667.5587200001</v>
      </c>
      <c r="J11" s="33">
        <f t="shared" si="1"/>
        <v>1520967.5854816001</v>
      </c>
      <c r="K11" s="33">
        <f t="shared" si="1"/>
        <v>1566596.613046048</v>
      </c>
      <c r="L11" s="33">
        <f t="shared" si="1"/>
        <v>1613594.5114374296</v>
      </c>
      <c r="M11" s="33">
        <f t="shared" si="1"/>
        <v>1662002.3467805525</v>
      </c>
      <c r="N11" s="33">
        <f t="shared" si="1"/>
        <v>1711862.4171839689</v>
      </c>
      <c r="O11" s="58">
        <f t="shared" si="1"/>
        <v>1763218.2896994879</v>
      </c>
      <c r="P11" s="58">
        <f t="shared" si="1"/>
        <v>1816114.8383904726</v>
      </c>
      <c r="Q11" s="58">
        <f t="shared" si="1"/>
        <v>18619942.784739561</v>
      </c>
    </row>
    <row r="12" spans="3:17" x14ac:dyDescent="0.25">
      <c r="O12" s="59"/>
      <c r="P12" s="60"/>
      <c r="Q12" s="61"/>
    </row>
    <row r="13" spans="3:17" x14ac:dyDescent="0.25">
      <c r="O13" s="62"/>
      <c r="P13" s="63"/>
      <c r="Q13" s="64"/>
    </row>
    <row r="14" spans="3:17" x14ac:dyDescent="0.25">
      <c r="O14" s="65" t="s">
        <v>81</v>
      </c>
      <c r="P14" s="66"/>
      <c r="Q14" s="67">
        <f>Q7-Q11</f>
        <v>0</v>
      </c>
    </row>
    <row r="15" spans="3:17" ht="15.75" thickBot="1" x14ac:dyDescent="0.3">
      <c r="O15" s="68"/>
      <c r="P15" s="69"/>
      <c r="Q15" s="70">
        <f>Q7-Q11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OBJETIVOS FINACIEROS</vt:lpstr>
      <vt:lpstr>PRODUCTOS</vt:lpstr>
      <vt:lpstr>VENTAS</vt:lpstr>
      <vt:lpstr>PRODUCCION</vt:lpstr>
      <vt:lpstr>COMPRAS</vt:lpstr>
      <vt:lpstr>CONSUMOS</vt:lpstr>
      <vt:lpstr>GASTOS</vt:lpstr>
      <vt:lpstr>COBRANZAS</vt:lpstr>
      <vt:lpstr>PAGOS</vt:lpstr>
      <vt:lpstr>INVERSIONES</vt:lpstr>
      <vt:lpstr>PRESTAMO</vt:lpstr>
      <vt:lpstr>RESULTADO</vt:lpstr>
      <vt:lpstr>EQUILIBRIO</vt:lpstr>
      <vt:lpstr>FLUJO MES</vt:lpstr>
      <vt:lpstr>FLUJO 5 AÑOS</vt:lpstr>
      <vt:lpstr>EVALUACION</vt:lpstr>
      <vt:lpstr>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Monica Maritza Cobos Calderon</cp:lastModifiedBy>
  <dcterms:created xsi:type="dcterms:W3CDTF">2018-11-03T14:32:28Z</dcterms:created>
  <dcterms:modified xsi:type="dcterms:W3CDTF">2025-07-02T14:50:44Z</dcterms:modified>
</cp:coreProperties>
</file>