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ACE/Negocios/TNE 003/"/>
    </mc:Choice>
  </mc:AlternateContent>
  <xr:revisionPtr revIDLastSave="0" documentId="8_{5A9B626C-F1C2-4951-8F36-F1572D63F8F6}" xr6:coauthVersionLast="47" xr6:coauthVersionMax="47" xr10:uidLastSave="{00000000-0000-0000-0000-000000000000}"/>
  <bookViews>
    <workbookView xWindow="-120" yWindow="-120" windowWidth="20730" windowHeight="11160" activeTab="9" xr2:uid="{00000000-000D-0000-FFFF-FFFF00000000}"/>
  </bookViews>
  <sheets>
    <sheet name="Hoja1" sheetId="1" r:id="rId1"/>
    <sheet name="COMPUTADORA" sheetId="2" r:id="rId2"/>
    <sheet name="ESTABILIZADOR" sheetId="3" r:id="rId3"/>
    <sheet name="ELEVADORES" sheetId="4" r:id="rId4"/>
    <sheet name="TELEFONOS" sheetId="5" r:id="rId5"/>
    <sheet name="ESTANTES" sheetId="6" r:id="rId6"/>
    <sheet name="Hoja7" sheetId="7" r:id="rId7"/>
    <sheet name="FLUJO DE CAJA OPR" sheetId="8" r:id="rId8"/>
    <sheet name="sencibilizacion positiva" sheetId="10" r:id="rId9"/>
    <sheet name="sencibilizacion negativa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1" l="1"/>
  <c r="E20" i="11"/>
  <c r="J19" i="11"/>
  <c r="G11" i="11"/>
  <c r="H11" i="11" s="1"/>
  <c r="J10" i="11"/>
  <c r="I10" i="11"/>
  <c r="H10" i="11"/>
  <c r="F10" i="11"/>
  <c r="G10" i="11" s="1"/>
  <c r="I4" i="11" s="1"/>
  <c r="H4" i="11"/>
  <c r="D3" i="11"/>
  <c r="E3" i="11" s="1"/>
  <c r="F9" i="11" s="1"/>
  <c r="G9" i="11" s="1"/>
  <c r="H9" i="11" s="1"/>
  <c r="I9" i="11" s="1"/>
  <c r="J9" i="11" s="1"/>
  <c r="B3" i="10"/>
  <c r="E20" i="10"/>
  <c r="J19" i="10"/>
  <c r="G11" i="10"/>
  <c r="H11" i="10" s="1"/>
  <c r="J10" i="10"/>
  <c r="H10" i="10"/>
  <c r="J4" i="10" s="1"/>
  <c r="G10" i="10"/>
  <c r="I4" i="10" s="1"/>
  <c r="F10" i="10"/>
  <c r="H4" i="10" s="1"/>
  <c r="D3" i="10"/>
  <c r="E3" i="10" s="1"/>
  <c r="F9" i="10" s="1"/>
  <c r="G9" i="10" s="1"/>
  <c r="H9" i="10" s="1"/>
  <c r="I9" i="10" s="1"/>
  <c r="J9" i="10" s="1"/>
  <c r="E20" i="8"/>
  <c r="I23" i="3"/>
  <c r="F10" i="8"/>
  <c r="G10" i="8" s="1"/>
  <c r="K4" i="8" s="1"/>
  <c r="H10" i="8"/>
  <c r="I10" i="8" s="1"/>
  <c r="J10" i="8"/>
  <c r="G11" i="8"/>
  <c r="H11" i="8" s="1"/>
  <c r="J19" i="8"/>
  <c r="B3" i="8"/>
  <c r="D3" i="8" s="1"/>
  <c r="E3" i="8" s="1"/>
  <c r="F9" i="8" s="1"/>
  <c r="C28" i="6"/>
  <c r="G7" i="7"/>
  <c r="G8" i="7"/>
  <c r="G9" i="7"/>
  <c r="G6" i="7"/>
  <c r="G10" i="7" s="1"/>
  <c r="E10" i="7"/>
  <c r="B6" i="7"/>
  <c r="F9" i="7"/>
  <c r="F7" i="7"/>
  <c r="F8" i="7"/>
  <c r="F6" i="7"/>
  <c r="G16" i="7"/>
  <c r="G17" i="7"/>
  <c r="G18" i="7"/>
  <c r="G19" i="7"/>
  <c r="G15" i="7"/>
  <c r="D4" i="1"/>
  <c r="D5" i="1"/>
  <c r="D6" i="1"/>
  <c r="D7" i="1"/>
  <c r="D8" i="1" s="1"/>
  <c r="D3" i="1"/>
  <c r="B10" i="6"/>
  <c r="C4" i="6"/>
  <c r="C6" i="6" s="1"/>
  <c r="B10" i="5"/>
  <c r="C4" i="5"/>
  <c r="C6" i="5"/>
  <c r="C13" i="5" s="1"/>
  <c r="B10" i="4"/>
  <c r="C4" i="4"/>
  <c r="C6" i="4" s="1"/>
  <c r="C13" i="4" s="1"/>
  <c r="C15" i="4" s="1"/>
  <c r="B10" i="3"/>
  <c r="C4" i="3"/>
  <c r="C6" i="3" s="1"/>
  <c r="C13" i="2"/>
  <c r="C12" i="2"/>
  <c r="C6" i="2"/>
  <c r="C11" i="2" s="1"/>
  <c r="D11" i="2" l="1"/>
  <c r="D12" i="2" s="1"/>
  <c r="D13" i="2" s="1"/>
  <c r="B11" i="2"/>
  <c r="B12" i="2" s="1"/>
  <c r="B13" i="2" s="1"/>
  <c r="C16" i="4"/>
  <c r="C17" i="4"/>
  <c r="C13" i="3"/>
  <c r="C15" i="3" s="1"/>
  <c r="C16" i="3" s="1"/>
  <c r="C12" i="3"/>
  <c r="I11" i="8"/>
  <c r="L4" i="8"/>
  <c r="I10" i="10"/>
  <c r="C14" i="2"/>
  <c r="C12" i="5"/>
  <c r="J4" i="8"/>
  <c r="F13" i="11"/>
  <c r="J4" i="11"/>
  <c r="I11" i="11"/>
  <c r="F13" i="10"/>
  <c r="I11" i="10"/>
  <c r="J11" i="10" s="1"/>
  <c r="L4" i="10" s="1"/>
  <c r="F13" i="8"/>
  <c r="G9" i="8"/>
  <c r="F10" i="7"/>
  <c r="B7" i="7" s="1"/>
  <c r="B8" i="7" s="1"/>
  <c r="G20" i="7"/>
  <c r="C14" i="6"/>
  <c r="C12" i="6"/>
  <c r="C13" i="6"/>
  <c r="C15" i="6" s="1"/>
  <c r="C16" i="6" s="1"/>
  <c r="C11" i="6"/>
  <c r="D11" i="6" s="1"/>
  <c r="D12" i="6" s="1"/>
  <c r="D13" i="6" s="1"/>
  <c r="C14" i="5"/>
  <c r="C11" i="5"/>
  <c r="C12" i="4"/>
  <c r="C14" i="4"/>
  <c r="C11" i="4"/>
  <c r="C14" i="3"/>
  <c r="C11" i="3"/>
  <c r="D14" i="6" l="1"/>
  <c r="D15" i="6" s="1"/>
  <c r="D16" i="6" s="1"/>
  <c r="K4" i="10"/>
  <c r="G23" i="10" s="1"/>
  <c r="B14" i="2"/>
  <c r="J11" i="8"/>
  <c r="N4" i="8" s="1"/>
  <c r="M4" i="8"/>
  <c r="M21" i="8" s="1"/>
  <c r="C19" i="4"/>
  <c r="C18" i="4"/>
  <c r="D14" i="2"/>
  <c r="G13" i="11"/>
  <c r="J11" i="11"/>
  <c r="L4" i="11" s="1"/>
  <c r="K4" i="11"/>
  <c r="F14" i="11"/>
  <c r="G14" i="11" s="1"/>
  <c r="H14" i="11" s="1"/>
  <c r="I14" i="11" s="1"/>
  <c r="J14" i="11" s="1"/>
  <c r="F14" i="10"/>
  <c r="G14" i="10" s="1"/>
  <c r="H14" i="10" s="1"/>
  <c r="I14" i="10" s="1"/>
  <c r="J14" i="10" s="1"/>
  <c r="G13" i="10"/>
  <c r="G15" i="10" s="1"/>
  <c r="G20" i="10" s="1"/>
  <c r="F14" i="8"/>
  <c r="G14" i="8" s="1"/>
  <c r="H14" i="8" s="1"/>
  <c r="I14" i="8" s="1"/>
  <c r="J14" i="8" s="1"/>
  <c r="H9" i="8"/>
  <c r="G13" i="8"/>
  <c r="G15" i="8" s="1"/>
  <c r="G20" i="8" s="1"/>
  <c r="B11" i="6"/>
  <c r="B12" i="6" s="1"/>
  <c r="B13" i="6" s="1"/>
  <c r="B14" i="6" s="1"/>
  <c r="B15" i="6" s="1"/>
  <c r="B16" i="6" s="1"/>
  <c r="D11" i="5"/>
  <c r="D12" i="5" s="1"/>
  <c r="D13" i="5" s="1"/>
  <c r="D14" i="5" s="1"/>
  <c r="B11" i="5"/>
  <c r="B12" i="5" s="1"/>
  <c r="B13" i="5" s="1"/>
  <c r="B14" i="5" s="1"/>
  <c r="D11" i="4"/>
  <c r="D12" i="4" s="1"/>
  <c r="D13" i="4" s="1"/>
  <c r="D14" i="4" s="1"/>
  <c r="D15" i="4" s="1"/>
  <c r="D16" i="4" s="1"/>
  <c r="D17" i="4" s="1"/>
  <c r="D18" i="4" s="1"/>
  <c r="B11" i="4"/>
  <c r="B12" i="4" s="1"/>
  <c r="B13" i="4" s="1"/>
  <c r="B14" i="4" s="1"/>
  <c r="B15" i="4" s="1"/>
  <c r="B16" i="4" s="1"/>
  <c r="B17" i="4" s="1"/>
  <c r="B18" i="4" s="1"/>
  <c r="B19" i="4" s="1"/>
  <c r="D11" i="3"/>
  <c r="D12" i="3" s="1"/>
  <c r="D13" i="3" s="1"/>
  <c r="D14" i="3" s="1"/>
  <c r="D15" i="3" s="1"/>
  <c r="D16" i="3" s="1"/>
  <c r="B11" i="3"/>
  <c r="B12" i="3" s="1"/>
  <c r="B13" i="3" s="1"/>
  <c r="B14" i="3" s="1"/>
  <c r="B15" i="3" s="1"/>
  <c r="B16" i="3" s="1"/>
  <c r="C20" i="4" l="1"/>
  <c r="B20" i="4" s="1"/>
  <c r="B21" i="4" s="1"/>
  <c r="B22" i="4" s="1"/>
  <c r="C21" i="4"/>
  <c r="C22" i="4" s="1"/>
  <c r="D19" i="4"/>
  <c r="D20" i="4" s="1"/>
  <c r="D21" i="4" s="1"/>
  <c r="D22" i="4" s="1"/>
  <c r="G23" i="11"/>
  <c r="F15" i="11"/>
  <c r="F20" i="11" s="1"/>
  <c r="H13" i="11"/>
  <c r="H15" i="11" s="1"/>
  <c r="H20" i="11" s="1"/>
  <c r="G15" i="11"/>
  <c r="G20" i="11" s="1"/>
  <c r="H13" i="10"/>
  <c r="H15" i="10" s="1"/>
  <c r="H20" i="10" s="1"/>
  <c r="F15" i="10"/>
  <c r="F20" i="10" s="1"/>
  <c r="H13" i="8"/>
  <c r="H15" i="8" s="1"/>
  <c r="H20" i="8" s="1"/>
  <c r="I9" i="8"/>
  <c r="F15" i="8"/>
  <c r="F20" i="8" s="1"/>
  <c r="I13" i="11" l="1"/>
  <c r="I15" i="11" s="1"/>
  <c r="I20" i="11" s="1"/>
  <c r="I13" i="10"/>
  <c r="I15" i="10" s="1"/>
  <c r="I20" i="10" s="1"/>
  <c r="J9" i="8"/>
  <c r="I13" i="8"/>
  <c r="I15" i="8" s="1"/>
  <c r="I20" i="8" s="1"/>
  <c r="E23" i="8" l="1"/>
  <c r="J13" i="8"/>
  <c r="J15" i="8" s="1"/>
  <c r="J20" i="8" s="1"/>
  <c r="E24" i="8" s="1"/>
  <c r="M22" i="8"/>
  <c r="M23" i="8" s="1"/>
  <c r="J13" i="11"/>
  <c r="J15" i="11" s="1"/>
  <c r="J20" i="11" s="1"/>
  <c r="E24" i="11" s="1"/>
  <c r="G24" i="11"/>
  <c r="G25" i="11" s="1"/>
  <c r="J13" i="10"/>
  <c r="J15" i="10" s="1"/>
  <c r="J20" i="10" s="1"/>
  <c r="E24" i="10" s="1"/>
  <c r="G24" i="10"/>
  <c r="G25" i="10" s="1"/>
  <c r="E23" i="11" l="1"/>
  <c r="E23" i="10"/>
</calcChain>
</file>

<file path=xl/sharedStrings.xml><?xml version="1.0" encoding="utf-8"?>
<sst xmlns="http://schemas.openxmlformats.org/spreadsheetml/2006/main" count="159" uniqueCount="65">
  <si>
    <t>COMPUTADORA</t>
  </si>
  <si>
    <t>ESTABILIZADOR</t>
  </si>
  <si>
    <t>ELEVADORES</t>
  </si>
  <si>
    <t>TELEFONOS</t>
  </si>
  <si>
    <t>VALOR</t>
  </si>
  <si>
    <t>VALOR DESECHO</t>
  </si>
  <si>
    <t>VIDA UTIL (AÑOS)</t>
  </si>
  <si>
    <t>VALOR DEPRECIACION</t>
  </si>
  <si>
    <t>DEPRECIACION</t>
  </si>
  <si>
    <t>DEPRECIACION ACUMULADA</t>
  </si>
  <si>
    <t>FECHA</t>
  </si>
  <si>
    <t>DEPRECIACION ANUAL</t>
  </si>
  <si>
    <t>TELEFONO</t>
  </si>
  <si>
    <t>ELEVADOR</t>
  </si>
  <si>
    <t>ESTANTES</t>
  </si>
  <si>
    <t>INVERCION INICIAL</t>
  </si>
  <si>
    <t>INSUMOS</t>
  </si>
  <si>
    <t>ARRIENDO</t>
  </si>
  <si>
    <t>SUELDOS</t>
  </si>
  <si>
    <t>EQUIPO</t>
  </si>
  <si>
    <t>SERVICIOS</t>
  </si>
  <si>
    <t>JEFE DE COMPRAS</t>
  </si>
  <si>
    <t>BODEGUEROS</t>
  </si>
  <si>
    <t>SERVICIOS GEN.</t>
  </si>
  <si>
    <t>COMERCIALES</t>
  </si>
  <si>
    <t>RECEPCIONISTA</t>
  </si>
  <si>
    <t>ACTIVOS DIFERIDOS</t>
  </si>
  <si>
    <t>INVERSION INICIAL</t>
  </si>
  <si>
    <t>ACTIVOS FIJOS</t>
  </si>
  <si>
    <t>TOTAL</t>
  </si>
  <si>
    <t>CAPITAL DE TRABAJO</t>
  </si>
  <si>
    <t>invercion inicial insumos y maquiaria</t>
  </si>
  <si>
    <t>equipo</t>
  </si>
  <si>
    <t>TOTAL ACTIVOS DIFERIDOS</t>
  </si>
  <si>
    <t>SALARIOS</t>
  </si>
  <si>
    <t>x6 MESES</t>
  </si>
  <si>
    <t>MES</t>
  </si>
  <si>
    <t>CANTIDAD</t>
  </si>
  <si>
    <t>SUELDO</t>
  </si>
  <si>
    <t>CARGO</t>
  </si>
  <si>
    <t>TOTAL EMPRESAS</t>
  </si>
  <si>
    <t>VENTAS MENSUALES</t>
  </si>
  <si>
    <t>INGRESOS POR VENTAS</t>
  </si>
  <si>
    <t>COSTOS VARIABLES</t>
  </si>
  <si>
    <t>COSTOS FIJOS</t>
  </si>
  <si>
    <t>UTILIDAD ANTES DE IMPUESTOS</t>
  </si>
  <si>
    <t>UTILIDAD DESPUES DE IMPUESTOS</t>
  </si>
  <si>
    <t>VALOR RESIDUAL DE EQUIPOS</t>
  </si>
  <si>
    <t>RECUPERACION CAPITAL DE TRABAJO</t>
  </si>
  <si>
    <t>SALDO CAJA OPERACIONAL</t>
  </si>
  <si>
    <t>AÑO 0</t>
  </si>
  <si>
    <t>ANUAL</t>
  </si>
  <si>
    <t>VENTAS ANUALES</t>
  </si>
  <si>
    <t>IMPUESTOS (34%)</t>
  </si>
  <si>
    <t>VENTAS DE INSUMOS Y MAQUINARIA</t>
  </si>
  <si>
    <t>DESCRIPCION</t>
  </si>
  <si>
    <t>VALOR UNITARIO</t>
  </si>
  <si>
    <t>VALOR TOTAL</t>
  </si>
  <si>
    <t>VPN</t>
  </si>
  <si>
    <t>TIR</t>
  </si>
  <si>
    <t>total costos</t>
  </si>
  <si>
    <t>B/c</t>
  </si>
  <si>
    <t>DEPRECIACION ANUAL TOTAL</t>
  </si>
  <si>
    <t>Sumatoria VPc</t>
  </si>
  <si>
    <t>Sumatoria VPI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</si>
</sst>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;[Red]\-&quot;$&quot;\ #,##0.00"/>
    <numFmt numFmtId="165" formatCode="&quot;$&quot;\ #,##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5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165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/>
    <xf numFmtId="1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wrapText="1"/>
    </xf>
    <xf numFmtId="0" fontId="0" fillId="0" borderId="4" xfId="0" applyBorder="1"/>
    <xf numFmtId="0" fontId="0" fillId="0" borderId="7" xfId="0" applyBorder="1"/>
    <xf numFmtId="0" fontId="0" fillId="0" borderId="2" xfId="0" applyBorder="1" applyAlignment="1">
      <alignment wrapText="1"/>
    </xf>
    <xf numFmtId="0" fontId="0" fillId="0" borderId="5" xfId="0" applyBorder="1"/>
    <xf numFmtId="0" fontId="0" fillId="0" borderId="3" xfId="0" applyBorder="1"/>
    <xf numFmtId="0" fontId="0" fillId="0" borderId="2" xfId="0" applyBorder="1"/>
    <xf numFmtId="0" fontId="1" fillId="0" borderId="2" xfId="0" applyFont="1" applyBorder="1"/>
    <xf numFmtId="0" fontId="1" fillId="0" borderId="6" xfId="0" applyFont="1" applyBorder="1"/>
    <xf numFmtId="165" fontId="1" fillId="0" borderId="1" xfId="0" applyNumberFormat="1" applyFont="1" applyBorder="1"/>
    <xf numFmtId="164" fontId="0" fillId="0" borderId="0" xfId="0" applyNumberFormat="1"/>
    <xf numFmtId="164" fontId="0" fillId="0" borderId="1" xfId="0" applyNumberFormat="1" applyBorder="1"/>
    <xf numFmtId="9" fontId="0" fillId="0" borderId="1" xfId="0" applyNumberFormat="1" applyBorder="1"/>
    <xf numFmtId="165" fontId="2" fillId="0" borderId="1" xfId="0" applyNumberFormat="1" applyFont="1" applyBorder="1"/>
    <xf numFmtId="0" fontId="0" fillId="2" borderId="0" xfId="0" applyFill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workbookViewId="0">
      <selection activeCell="D8" sqref="A1:D8"/>
    </sheetView>
  </sheetViews>
  <sheetFormatPr baseColWidth="10" defaultRowHeight="15" x14ac:dyDescent="0.25"/>
  <cols>
    <col min="1" max="1" width="15.140625" bestFit="1" customWidth="1"/>
    <col min="2" max="2" width="14.5703125" bestFit="1" customWidth="1"/>
    <col min="3" max="3" width="12.28515625" bestFit="1" customWidth="1"/>
    <col min="5" max="5" width="14" bestFit="1" customWidth="1"/>
  </cols>
  <sheetData>
    <row r="1" spans="1:4" x14ac:dyDescent="0.25">
      <c r="A1" s="29" t="s">
        <v>19</v>
      </c>
      <c r="B1" s="29"/>
      <c r="C1" s="29"/>
      <c r="D1" s="29"/>
    </row>
    <row r="2" spans="1:4" ht="30" x14ac:dyDescent="0.25">
      <c r="A2" s="2" t="s">
        <v>55</v>
      </c>
      <c r="B2" s="3" t="s">
        <v>56</v>
      </c>
      <c r="C2" s="2" t="s">
        <v>37</v>
      </c>
      <c r="D2" s="3" t="s">
        <v>57</v>
      </c>
    </row>
    <row r="3" spans="1:4" x14ac:dyDescent="0.25">
      <c r="A3" s="2" t="s">
        <v>0</v>
      </c>
      <c r="B3" s="2">
        <v>1800000</v>
      </c>
      <c r="C3" s="2">
        <v>6</v>
      </c>
      <c r="D3" s="2">
        <f>C3*B3</f>
        <v>10800000</v>
      </c>
    </row>
    <row r="4" spans="1:4" x14ac:dyDescent="0.25">
      <c r="A4" s="2" t="s">
        <v>1</v>
      </c>
      <c r="B4" s="2">
        <v>120000</v>
      </c>
      <c r="C4" s="2">
        <v>6</v>
      </c>
      <c r="D4" s="2">
        <f t="shared" ref="D4:D7" si="0">C4*B4</f>
        <v>720000</v>
      </c>
    </row>
    <row r="5" spans="1:4" x14ac:dyDescent="0.25">
      <c r="A5" s="2" t="s">
        <v>2</v>
      </c>
      <c r="B5" s="2">
        <v>1950000</v>
      </c>
      <c r="C5" s="2">
        <v>3</v>
      </c>
      <c r="D5" s="2">
        <f t="shared" si="0"/>
        <v>5850000</v>
      </c>
    </row>
    <row r="6" spans="1:4" x14ac:dyDescent="0.25">
      <c r="A6" s="2" t="s">
        <v>3</v>
      </c>
      <c r="B6" s="2">
        <v>250000</v>
      </c>
      <c r="C6" s="2">
        <v>12</v>
      </c>
      <c r="D6" s="2">
        <f t="shared" si="0"/>
        <v>3000000</v>
      </c>
    </row>
    <row r="7" spans="1:4" x14ac:dyDescent="0.25">
      <c r="A7" s="2" t="s">
        <v>14</v>
      </c>
      <c r="B7" s="2">
        <v>100000</v>
      </c>
      <c r="C7" s="2">
        <v>8</v>
      </c>
      <c r="D7" s="2">
        <f t="shared" si="0"/>
        <v>800000</v>
      </c>
    </row>
    <row r="8" spans="1:4" x14ac:dyDescent="0.25">
      <c r="D8" s="2">
        <f>SUM(D3:D7)</f>
        <v>21170000</v>
      </c>
    </row>
  </sheetData>
  <mergeCells count="1">
    <mergeCell ref="A1:D1"/>
  </mergeCells>
  <pageMargins left="0.7" right="0.7" top="0.75" bottom="0.75" header="0.3" footer="0.3"/>
  <pageSetup orientation="portrait" horizontalDpi="4294967292" verticalDpi="0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5"/>
  <sheetViews>
    <sheetView tabSelected="1" workbookViewId="0">
      <selection activeCell="G25" sqref="D23:G25"/>
    </sheetView>
  </sheetViews>
  <sheetFormatPr baseColWidth="10" defaultRowHeight="15" x14ac:dyDescent="0.25"/>
  <cols>
    <col min="5" max="5" width="15.85546875" bestFit="1" customWidth="1"/>
    <col min="6" max="6" width="13.7109375" bestFit="1" customWidth="1"/>
    <col min="7" max="7" width="16.85546875" bestFit="1" customWidth="1"/>
    <col min="8" max="12" width="12.5703125" bestFit="1" customWidth="1"/>
  </cols>
  <sheetData>
    <row r="1" spans="1:12" x14ac:dyDescent="0.25">
      <c r="A1" s="29" t="s">
        <v>54</v>
      </c>
      <c r="B1" s="29"/>
      <c r="C1" s="29"/>
      <c r="D1" s="29"/>
      <c r="E1" s="29"/>
    </row>
    <row r="2" spans="1:12" ht="45" x14ac:dyDescent="0.25">
      <c r="A2" s="3" t="s">
        <v>40</v>
      </c>
      <c r="B2" s="14">
        <v>0.05</v>
      </c>
      <c r="C2" s="3" t="s">
        <v>41</v>
      </c>
      <c r="D2" s="2" t="s">
        <v>29</v>
      </c>
      <c r="E2" s="3" t="s">
        <v>52</v>
      </c>
    </row>
    <row r="3" spans="1:12" x14ac:dyDescent="0.25">
      <c r="A3" s="2">
        <v>129</v>
      </c>
      <c r="B3" s="8">
        <f>A3*6%</f>
        <v>7.7399999999999993</v>
      </c>
      <c r="C3" s="2">
        <v>1800000</v>
      </c>
      <c r="D3" s="2">
        <f>C3*B3</f>
        <v>13931999.999999998</v>
      </c>
      <c r="E3" s="2">
        <f>D3*12</f>
        <v>167183999.99999997</v>
      </c>
      <c r="H3" t="s">
        <v>60</v>
      </c>
    </row>
    <row r="4" spans="1:12" x14ac:dyDescent="0.25">
      <c r="H4" s="1">
        <f>F10+F11</f>
        <v>181920000</v>
      </c>
      <c r="I4" s="1">
        <f t="shared" ref="I4:L4" si="0">G10+G11</f>
        <v>181920000</v>
      </c>
      <c r="J4" s="1">
        <f t="shared" si="0"/>
        <v>181920000</v>
      </c>
      <c r="K4" s="1">
        <f t="shared" si="0"/>
        <v>181920000</v>
      </c>
      <c r="L4" s="1">
        <f t="shared" si="0"/>
        <v>181920000</v>
      </c>
    </row>
    <row r="5" spans="1:12" x14ac:dyDescent="0.25">
      <c r="A5" s="33"/>
      <c r="B5" s="33"/>
      <c r="C5" s="33"/>
      <c r="D5" s="33"/>
    </row>
    <row r="8" spans="1:12" x14ac:dyDescent="0.25">
      <c r="B8" s="28"/>
      <c r="C8" s="28"/>
      <c r="D8" s="28"/>
      <c r="E8" s="2" t="s">
        <v>50</v>
      </c>
      <c r="F8" s="2">
        <v>1</v>
      </c>
      <c r="G8" s="2">
        <v>2</v>
      </c>
      <c r="H8" s="2">
        <v>3</v>
      </c>
      <c r="I8" s="2">
        <v>4</v>
      </c>
      <c r="J8" s="2">
        <v>5</v>
      </c>
    </row>
    <row r="9" spans="1:12" x14ac:dyDescent="0.25">
      <c r="B9" s="37" t="s">
        <v>42</v>
      </c>
      <c r="C9" s="38"/>
      <c r="D9" s="39"/>
      <c r="E9" s="5"/>
      <c r="F9" s="5">
        <f>E3</f>
        <v>167183999.99999997</v>
      </c>
      <c r="G9" s="5">
        <f>F9+(F9*7%)</f>
        <v>178886879.99999997</v>
      </c>
      <c r="H9" s="5">
        <f>G9+(G9*7%)</f>
        <v>191408961.59999996</v>
      </c>
      <c r="I9" s="5">
        <f>H9+(H9*7%)</f>
        <v>204807588.91199997</v>
      </c>
      <c r="J9" s="5">
        <f>I9+(I9*7%)</f>
        <v>219144120.13583997</v>
      </c>
      <c r="K9" s="1"/>
      <c r="L9" s="1"/>
    </row>
    <row r="10" spans="1:12" x14ac:dyDescent="0.25">
      <c r="B10" s="34" t="s">
        <v>43</v>
      </c>
      <c r="C10" s="35"/>
      <c r="D10" s="36"/>
      <c r="E10" s="5"/>
      <c r="F10" s="5">
        <f>3500000*12</f>
        <v>42000000</v>
      </c>
      <c r="G10" s="5">
        <f>F10</f>
        <v>42000000</v>
      </c>
      <c r="H10" s="5">
        <f>3500000*12</f>
        <v>42000000</v>
      </c>
      <c r="I10" s="5">
        <f>H10</f>
        <v>42000000</v>
      </c>
      <c r="J10" s="5">
        <f>3500000*12</f>
        <v>42000000</v>
      </c>
      <c r="K10" s="1"/>
      <c r="L10" s="1"/>
    </row>
    <row r="11" spans="1:12" x14ac:dyDescent="0.25">
      <c r="B11" s="34" t="s">
        <v>44</v>
      </c>
      <c r="C11" s="35"/>
      <c r="D11" s="36"/>
      <c r="E11" s="5"/>
      <c r="F11" s="5">
        <v>139920000</v>
      </c>
      <c r="G11" s="5">
        <f>F11</f>
        <v>139920000</v>
      </c>
      <c r="H11" s="5">
        <f>G11</f>
        <v>139920000</v>
      </c>
      <c r="I11" s="5">
        <f>H11</f>
        <v>139920000</v>
      </c>
      <c r="J11" s="5">
        <f>I11</f>
        <v>139920000</v>
      </c>
      <c r="K11" s="1"/>
    </row>
    <row r="12" spans="1:12" x14ac:dyDescent="0.25">
      <c r="B12" s="34" t="s">
        <v>8</v>
      </c>
      <c r="C12" s="35"/>
      <c r="D12" s="36"/>
      <c r="E12" s="5"/>
      <c r="F12" s="5">
        <v>640500</v>
      </c>
      <c r="G12" s="5">
        <v>640500</v>
      </c>
      <c r="H12" s="5">
        <v>640500</v>
      </c>
      <c r="I12" s="5">
        <v>640500</v>
      </c>
      <c r="J12" s="5">
        <v>640500</v>
      </c>
      <c r="K12" s="1"/>
    </row>
    <row r="13" spans="1:12" x14ac:dyDescent="0.25">
      <c r="B13" s="40" t="s">
        <v>45</v>
      </c>
      <c r="C13" s="41"/>
      <c r="D13" s="42"/>
      <c r="E13" s="5"/>
      <c r="F13" s="23">
        <f>F9-F10-F11-F12</f>
        <v>-15376500.00000003</v>
      </c>
      <c r="G13" s="23">
        <f>G9-G10-G11-G12</f>
        <v>-3673620.0000000298</v>
      </c>
      <c r="H13" s="23">
        <f>H9-H10-H11-H12</f>
        <v>8848461.5999999642</v>
      </c>
      <c r="I13" s="23">
        <f>I9-I10-I11-I12</f>
        <v>22247088.911999971</v>
      </c>
      <c r="J13" s="23">
        <f>J9-J10-J11-J12</f>
        <v>36583620.135839969</v>
      </c>
      <c r="K13" s="1"/>
      <c r="L13" s="1"/>
    </row>
    <row r="14" spans="1:12" x14ac:dyDescent="0.25">
      <c r="B14" s="34" t="s">
        <v>53</v>
      </c>
      <c r="C14" s="35"/>
      <c r="D14" s="36"/>
      <c r="E14" s="5"/>
      <c r="F14" s="5">
        <f>(F13*34%)</f>
        <v>-5228010.0000000102</v>
      </c>
      <c r="G14" s="5">
        <f>F14+(F14*5%)</f>
        <v>-5489410.5000000112</v>
      </c>
      <c r="H14" s="5">
        <f>G14+(G14*5%)</f>
        <v>-5763881.0250000115</v>
      </c>
      <c r="I14" s="5">
        <f>H14+(H14*5%)</f>
        <v>-6052075.076250012</v>
      </c>
      <c r="J14" s="5">
        <f>I14+(I14*5%)</f>
        <v>-6354678.8300625123</v>
      </c>
      <c r="K14" s="1"/>
      <c r="L14" s="1"/>
    </row>
    <row r="15" spans="1:12" x14ac:dyDescent="0.25">
      <c r="B15" s="40" t="s">
        <v>46</v>
      </c>
      <c r="C15" s="41"/>
      <c r="D15" s="42"/>
      <c r="E15" s="5"/>
      <c r="F15" s="23">
        <f>F13-F14</f>
        <v>-10148490.000000019</v>
      </c>
      <c r="G15" s="23">
        <f>G13-G14</f>
        <v>1815790.4999999814</v>
      </c>
      <c r="H15" s="23">
        <f>H13-H14</f>
        <v>14612342.624999976</v>
      </c>
      <c r="I15" s="23">
        <f>I13-I14</f>
        <v>28299163.988249984</v>
      </c>
      <c r="J15" s="23">
        <f>J13-J14</f>
        <v>42938298.965902478</v>
      </c>
      <c r="K15" s="1"/>
      <c r="L15" s="1"/>
    </row>
    <row r="16" spans="1:12" x14ac:dyDescent="0.25">
      <c r="B16" s="34" t="s">
        <v>8</v>
      </c>
      <c r="C16" s="35"/>
      <c r="D16" s="36"/>
      <c r="E16" s="5"/>
      <c r="F16" s="5">
        <v>640500</v>
      </c>
      <c r="G16" s="5">
        <v>640500</v>
      </c>
      <c r="H16" s="5">
        <v>640500</v>
      </c>
      <c r="I16" s="5">
        <v>640500</v>
      </c>
      <c r="J16" s="5">
        <v>640500</v>
      </c>
      <c r="K16" s="1"/>
      <c r="L16" s="1"/>
    </row>
    <row r="17" spans="2:12" x14ac:dyDescent="0.25">
      <c r="B17" s="34" t="s">
        <v>27</v>
      </c>
      <c r="C17" s="35"/>
      <c r="D17" s="36"/>
      <c r="E17" s="5">
        <v>173730000</v>
      </c>
      <c r="F17" s="5"/>
      <c r="G17" s="5"/>
      <c r="H17" s="5"/>
      <c r="I17" s="5"/>
      <c r="J17" s="5"/>
      <c r="K17" s="1"/>
      <c r="L17" s="1"/>
    </row>
    <row r="18" spans="2:12" x14ac:dyDescent="0.25">
      <c r="B18" s="34" t="s">
        <v>47</v>
      </c>
      <c r="C18" s="35"/>
      <c r="D18" s="36"/>
      <c r="E18" s="5"/>
      <c r="F18" s="5"/>
      <c r="G18" s="5"/>
      <c r="H18" s="5"/>
      <c r="I18" s="5"/>
      <c r="J18" s="5">
        <v>6000000</v>
      </c>
      <c r="K18" s="1"/>
      <c r="L18" s="1"/>
    </row>
    <row r="19" spans="2:12" x14ac:dyDescent="0.25">
      <c r="B19" s="34" t="s">
        <v>48</v>
      </c>
      <c r="C19" s="35"/>
      <c r="D19" s="36"/>
      <c r="E19" s="5"/>
      <c r="F19" s="5"/>
      <c r="G19" s="5"/>
      <c r="H19" s="5"/>
      <c r="I19" s="5"/>
      <c r="J19" s="5">
        <f>E17*50%</f>
        <v>86865000</v>
      </c>
      <c r="K19" s="1"/>
      <c r="L19" s="1"/>
    </row>
    <row r="20" spans="2:12" x14ac:dyDescent="0.25">
      <c r="B20" s="40" t="s">
        <v>49</v>
      </c>
      <c r="C20" s="41"/>
      <c r="D20" s="42"/>
      <c r="E20" s="5">
        <f>-E17</f>
        <v>-173730000</v>
      </c>
      <c r="F20" s="23">
        <f>F15+F16</f>
        <v>-9507990.0000000186</v>
      </c>
      <c r="G20" s="23">
        <f>G15+G16</f>
        <v>2456290.4999999814</v>
      </c>
      <c r="H20" s="23">
        <f>H15+H16</f>
        <v>15252842.624999976</v>
      </c>
      <c r="I20" s="23">
        <f>I15+I16</f>
        <v>28939663.988249984</v>
      </c>
      <c r="J20" s="23">
        <f t="shared" ref="J20" si="1">J15+J16</f>
        <v>43578798.965902478</v>
      </c>
      <c r="K20" s="1"/>
    </row>
    <row r="23" spans="2:12" x14ac:dyDescent="0.25">
      <c r="D23" s="27" t="s">
        <v>58</v>
      </c>
      <c r="E23" s="25">
        <f>NPV(0.1,F20:J20)-E17</f>
        <v>-122058763.29502621</v>
      </c>
      <c r="F23" s="12" t="s">
        <v>63</v>
      </c>
      <c r="G23" s="25">
        <f>NPV(0.1,H4:L4)</f>
        <v>689619929.09078467</v>
      </c>
    </row>
    <row r="24" spans="2:12" x14ac:dyDescent="0.25">
      <c r="D24" s="27" t="s">
        <v>59</v>
      </c>
      <c r="E24" s="26">
        <f>IRR(E20:J20)</f>
        <v>-0.15324869204111646</v>
      </c>
      <c r="F24" s="12" t="s">
        <v>64</v>
      </c>
      <c r="G24" s="25">
        <f>NPV(0.1,F9:J9)</f>
        <v>719591833.11810505</v>
      </c>
    </row>
    <row r="25" spans="2:12" x14ac:dyDescent="0.25">
      <c r="F25" s="12" t="s">
        <v>61</v>
      </c>
      <c r="G25" s="2">
        <f>G24/G23</f>
        <v>1.043461481843827</v>
      </c>
    </row>
  </sheetData>
  <mergeCells count="14">
    <mergeCell ref="B19:D19"/>
    <mergeCell ref="B20:D20"/>
    <mergeCell ref="B13:D13"/>
    <mergeCell ref="B14:D14"/>
    <mergeCell ref="B15:D15"/>
    <mergeCell ref="B16:D16"/>
    <mergeCell ref="B17:D17"/>
    <mergeCell ref="B18:D18"/>
    <mergeCell ref="B12:D12"/>
    <mergeCell ref="A1:E1"/>
    <mergeCell ref="A5:D5"/>
    <mergeCell ref="B9:D9"/>
    <mergeCell ref="B10:D10"/>
    <mergeCell ref="B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workbookViewId="0">
      <selection activeCell="D14" sqref="A1:D14"/>
    </sheetView>
  </sheetViews>
  <sheetFormatPr baseColWidth="10" defaultRowHeight="15" x14ac:dyDescent="0.25"/>
  <cols>
    <col min="2" max="2" width="20.7109375" bestFit="1" customWidth="1"/>
    <col min="3" max="3" width="14.140625" bestFit="1" customWidth="1"/>
    <col min="4" max="4" width="14.42578125" customWidth="1"/>
    <col min="6" max="6" width="14.140625" bestFit="1" customWidth="1"/>
  </cols>
  <sheetData>
    <row r="1" spans="1:4" x14ac:dyDescent="0.25">
      <c r="A1" s="29" t="s">
        <v>0</v>
      </c>
      <c r="B1" s="29"/>
      <c r="C1" s="29"/>
      <c r="D1" s="29"/>
    </row>
    <row r="3" spans="1:4" x14ac:dyDescent="0.25">
      <c r="B3" s="2" t="s">
        <v>4</v>
      </c>
      <c r="C3" s="5">
        <v>1800000</v>
      </c>
    </row>
    <row r="4" spans="1:4" x14ac:dyDescent="0.25">
      <c r="B4" s="2" t="s">
        <v>5</v>
      </c>
      <c r="C4" s="5">
        <v>180000</v>
      </c>
    </row>
    <row r="5" spans="1:4" x14ac:dyDescent="0.25">
      <c r="B5" s="2" t="s">
        <v>6</v>
      </c>
      <c r="C5" s="2">
        <v>4</v>
      </c>
    </row>
    <row r="6" spans="1:4" x14ac:dyDescent="0.25">
      <c r="B6" s="2" t="s">
        <v>7</v>
      </c>
      <c r="C6" s="5">
        <f>(C3-C4)/C5</f>
        <v>405000</v>
      </c>
    </row>
    <row r="9" spans="1:4" ht="30" x14ac:dyDescent="0.25">
      <c r="A9" s="6" t="s">
        <v>10</v>
      </c>
      <c r="B9" s="6" t="s">
        <v>4</v>
      </c>
      <c r="C9" s="7" t="s">
        <v>11</v>
      </c>
      <c r="D9" s="7" t="s">
        <v>9</v>
      </c>
    </row>
    <row r="10" spans="1:4" x14ac:dyDescent="0.25">
      <c r="A10" s="9">
        <v>43465</v>
      </c>
      <c r="B10" s="10">
        <v>1800000</v>
      </c>
      <c r="C10" s="10"/>
      <c r="D10" s="10"/>
    </row>
    <row r="11" spans="1:4" x14ac:dyDescent="0.25">
      <c r="A11" s="9">
        <v>43830</v>
      </c>
      <c r="B11" s="10">
        <f>B10-C11</f>
        <v>1395000</v>
      </c>
      <c r="C11" s="10">
        <f>C6</f>
        <v>405000</v>
      </c>
      <c r="D11" s="10">
        <f>C10+C11</f>
        <v>405000</v>
      </c>
    </row>
    <row r="12" spans="1:4" x14ac:dyDescent="0.25">
      <c r="A12" s="9">
        <v>44196</v>
      </c>
      <c r="B12" s="10">
        <f t="shared" ref="B12:B14" si="0">B11-C12</f>
        <v>990000</v>
      </c>
      <c r="C12" s="10">
        <f>C6</f>
        <v>405000</v>
      </c>
      <c r="D12" s="10">
        <f>D11+C12</f>
        <v>810000</v>
      </c>
    </row>
    <row r="13" spans="1:4" x14ac:dyDescent="0.25">
      <c r="A13" s="9">
        <v>44561</v>
      </c>
      <c r="B13" s="10">
        <f t="shared" si="0"/>
        <v>585000</v>
      </c>
      <c r="C13" s="10">
        <f>C6</f>
        <v>405000</v>
      </c>
      <c r="D13" s="10">
        <f>D12+C13</f>
        <v>1215000</v>
      </c>
    </row>
    <row r="14" spans="1:4" x14ac:dyDescent="0.25">
      <c r="A14" s="9">
        <v>44926</v>
      </c>
      <c r="B14" s="10">
        <f t="shared" si="0"/>
        <v>180000</v>
      </c>
      <c r="C14" s="10">
        <f>C6</f>
        <v>405000</v>
      </c>
      <c r="D14" s="10">
        <f>D13+C14</f>
        <v>1620000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activeCell="D16" sqref="A1:D16"/>
    </sheetView>
  </sheetViews>
  <sheetFormatPr baseColWidth="10" defaultRowHeight="15" x14ac:dyDescent="0.25"/>
  <cols>
    <col min="2" max="2" width="20.7109375" bestFit="1" customWidth="1"/>
    <col min="3" max="3" width="14.28515625" customWidth="1"/>
    <col min="4" max="4" width="15.42578125" customWidth="1"/>
  </cols>
  <sheetData>
    <row r="1" spans="1:4" x14ac:dyDescent="0.25">
      <c r="A1" s="29" t="s">
        <v>1</v>
      </c>
      <c r="B1" s="29"/>
      <c r="C1" s="29"/>
      <c r="D1" s="29"/>
    </row>
    <row r="3" spans="1:4" x14ac:dyDescent="0.25">
      <c r="B3" s="2" t="s">
        <v>4</v>
      </c>
      <c r="C3" s="5">
        <v>120000</v>
      </c>
    </row>
    <row r="4" spans="1:4" x14ac:dyDescent="0.25">
      <c r="B4" s="2" t="s">
        <v>5</v>
      </c>
      <c r="C4" s="5">
        <f>C3*10%</f>
        <v>12000</v>
      </c>
    </row>
    <row r="5" spans="1:4" x14ac:dyDescent="0.25">
      <c r="B5" s="2" t="s">
        <v>6</v>
      </c>
      <c r="C5" s="2">
        <v>6</v>
      </c>
    </row>
    <row r="6" spans="1:4" x14ac:dyDescent="0.25">
      <c r="B6" s="2" t="s">
        <v>7</v>
      </c>
      <c r="C6" s="2">
        <f>(C3-C4)/C5</f>
        <v>18000</v>
      </c>
    </row>
    <row r="9" spans="1:4" ht="30" x14ac:dyDescent="0.25">
      <c r="A9" s="6" t="s">
        <v>10</v>
      </c>
      <c r="B9" s="6" t="s">
        <v>4</v>
      </c>
      <c r="C9" s="7" t="s">
        <v>11</v>
      </c>
      <c r="D9" s="7" t="s">
        <v>9</v>
      </c>
    </row>
    <row r="10" spans="1:4" x14ac:dyDescent="0.25">
      <c r="A10" s="9">
        <v>43465</v>
      </c>
      <c r="B10" s="10">
        <f>C3</f>
        <v>120000</v>
      </c>
      <c r="C10" s="6"/>
      <c r="D10" s="6"/>
    </row>
    <row r="11" spans="1:4" x14ac:dyDescent="0.25">
      <c r="A11" s="9">
        <v>43830</v>
      </c>
      <c r="B11" s="6">
        <f>B10-C11</f>
        <v>102000</v>
      </c>
      <c r="C11" s="6">
        <f>C6</f>
        <v>18000</v>
      </c>
      <c r="D11" s="6">
        <f>C10+C11</f>
        <v>18000</v>
      </c>
    </row>
    <row r="12" spans="1:4" x14ac:dyDescent="0.25">
      <c r="A12" s="9">
        <v>44196</v>
      </c>
      <c r="B12" s="6">
        <f t="shared" ref="B12:B14" si="0">B11-C12</f>
        <v>84000</v>
      </c>
      <c r="C12" s="6">
        <f>C6</f>
        <v>18000</v>
      </c>
      <c r="D12" s="6">
        <f>D11+C12</f>
        <v>36000</v>
      </c>
    </row>
    <row r="13" spans="1:4" x14ac:dyDescent="0.25">
      <c r="A13" s="9">
        <v>44561</v>
      </c>
      <c r="B13" s="6">
        <f t="shared" si="0"/>
        <v>66000</v>
      </c>
      <c r="C13" s="6">
        <f>C6</f>
        <v>18000</v>
      </c>
      <c r="D13" s="6">
        <f>D12+C13</f>
        <v>54000</v>
      </c>
    </row>
    <row r="14" spans="1:4" x14ac:dyDescent="0.25">
      <c r="A14" s="9">
        <v>44926</v>
      </c>
      <c r="B14" s="6">
        <f t="shared" si="0"/>
        <v>48000</v>
      </c>
      <c r="C14" s="6">
        <f>C6</f>
        <v>18000</v>
      </c>
      <c r="D14" s="6">
        <f>D13+C14</f>
        <v>72000</v>
      </c>
    </row>
    <row r="15" spans="1:4" x14ac:dyDescent="0.25">
      <c r="A15" s="9">
        <v>45291</v>
      </c>
      <c r="B15" s="11">
        <f>B14-C15</f>
        <v>30000</v>
      </c>
      <c r="C15" s="6">
        <f>C13</f>
        <v>18000</v>
      </c>
      <c r="D15" s="6">
        <f>D14+C15</f>
        <v>90000</v>
      </c>
    </row>
    <row r="16" spans="1:4" x14ac:dyDescent="0.25">
      <c r="A16" s="9">
        <v>45657</v>
      </c>
      <c r="B16" s="11">
        <f>B15-C16</f>
        <v>12000</v>
      </c>
      <c r="C16" s="6">
        <f>C15</f>
        <v>18000</v>
      </c>
      <c r="D16" s="6">
        <f>D15+C16</f>
        <v>108000</v>
      </c>
    </row>
    <row r="23" spans="7:9" x14ac:dyDescent="0.25">
      <c r="G23">
        <v>1800000</v>
      </c>
      <c r="H23">
        <v>11000</v>
      </c>
      <c r="I23">
        <f>G23/H23</f>
        <v>163.63636363636363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2"/>
  <sheetViews>
    <sheetView workbookViewId="0">
      <selection activeCell="D22" sqref="A1:D22"/>
    </sheetView>
  </sheetViews>
  <sheetFormatPr baseColWidth="10" defaultRowHeight="15" x14ac:dyDescent="0.25"/>
  <cols>
    <col min="2" max="2" width="20.7109375" bestFit="1" customWidth="1"/>
    <col min="3" max="3" width="14.28515625" customWidth="1"/>
    <col min="4" max="4" width="14.5703125" customWidth="1"/>
  </cols>
  <sheetData>
    <row r="1" spans="1:4" x14ac:dyDescent="0.25">
      <c r="A1" s="29" t="s">
        <v>13</v>
      </c>
      <c r="B1" s="29"/>
      <c r="C1" s="29"/>
      <c r="D1" s="29"/>
    </row>
    <row r="3" spans="1:4" x14ac:dyDescent="0.25">
      <c r="B3" s="2" t="s">
        <v>4</v>
      </c>
      <c r="C3" s="5">
        <v>1950000</v>
      </c>
    </row>
    <row r="4" spans="1:4" x14ac:dyDescent="0.25">
      <c r="B4" s="2" t="s">
        <v>5</v>
      </c>
      <c r="C4" s="5">
        <f>C3*10%</f>
        <v>195000</v>
      </c>
    </row>
    <row r="5" spans="1:4" x14ac:dyDescent="0.25">
      <c r="B5" s="2" t="s">
        <v>6</v>
      </c>
      <c r="C5" s="2">
        <v>12</v>
      </c>
    </row>
    <row r="6" spans="1:4" x14ac:dyDescent="0.25">
      <c r="B6" s="2" t="s">
        <v>7</v>
      </c>
      <c r="C6" s="2">
        <f>(C3-C4)/C5</f>
        <v>146250</v>
      </c>
    </row>
    <row r="9" spans="1:4" ht="30" x14ac:dyDescent="0.25">
      <c r="A9" s="6" t="s">
        <v>10</v>
      </c>
      <c r="B9" s="6" t="s">
        <v>4</v>
      </c>
      <c r="C9" s="7" t="s">
        <v>11</v>
      </c>
      <c r="D9" s="7" t="s">
        <v>9</v>
      </c>
    </row>
    <row r="10" spans="1:4" x14ac:dyDescent="0.25">
      <c r="A10" s="9">
        <v>43465</v>
      </c>
      <c r="B10" s="10">
        <f>C3</f>
        <v>1950000</v>
      </c>
      <c r="C10" s="6"/>
      <c r="D10" s="6"/>
    </row>
    <row r="11" spans="1:4" x14ac:dyDescent="0.25">
      <c r="A11" s="9">
        <v>43830</v>
      </c>
      <c r="B11" s="6">
        <f>B10-C11</f>
        <v>1803750</v>
      </c>
      <c r="C11" s="6">
        <f>C6</f>
        <v>146250</v>
      </c>
      <c r="D11" s="6">
        <f>C10+C11</f>
        <v>146250</v>
      </c>
    </row>
    <row r="12" spans="1:4" x14ac:dyDescent="0.25">
      <c r="A12" s="9">
        <v>44196</v>
      </c>
      <c r="B12" s="6">
        <f t="shared" ref="B12:B14" si="0">B11-C12</f>
        <v>1657500</v>
      </c>
      <c r="C12" s="6">
        <f>C6</f>
        <v>146250</v>
      </c>
      <c r="D12" s="6">
        <f>D11+C12</f>
        <v>292500</v>
      </c>
    </row>
    <row r="13" spans="1:4" x14ac:dyDescent="0.25">
      <c r="A13" s="9">
        <v>44561</v>
      </c>
      <c r="B13" s="6">
        <f t="shared" si="0"/>
        <v>1511250</v>
      </c>
      <c r="C13" s="6">
        <f>C6</f>
        <v>146250</v>
      </c>
      <c r="D13" s="6">
        <f>D12+C13</f>
        <v>438750</v>
      </c>
    </row>
    <row r="14" spans="1:4" x14ac:dyDescent="0.25">
      <c r="A14" s="9">
        <v>44926</v>
      </c>
      <c r="B14" s="6">
        <f t="shared" si="0"/>
        <v>1365000</v>
      </c>
      <c r="C14" s="6">
        <f>C6</f>
        <v>146250</v>
      </c>
      <c r="D14" s="6">
        <f>D13+C14</f>
        <v>585000</v>
      </c>
    </row>
    <row r="15" spans="1:4" x14ac:dyDescent="0.25">
      <c r="A15" s="9">
        <v>45291</v>
      </c>
      <c r="B15" s="11">
        <f>B14-C15</f>
        <v>1218750</v>
      </c>
      <c r="C15" s="6">
        <f>C13</f>
        <v>146250</v>
      </c>
      <c r="D15" s="6">
        <f>D14+C15</f>
        <v>731250</v>
      </c>
    </row>
    <row r="16" spans="1:4" x14ac:dyDescent="0.25">
      <c r="A16" s="9">
        <v>45657</v>
      </c>
      <c r="B16" s="11">
        <f>B15-C16</f>
        <v>1072500</v>
      </c>
      <c r="C16" s="6">
        <f>C15</f>
        <v>146250</v>
      </c>
      <c r="D16" s="6">
        <f>D15+C16</f>
        <v>877500</v>
      </c>
    </row>
    <row r="17" spans="1:4" x14ac:dyDescent="0.25">
      <c r="A17" s="9">
        <v>46022</v>
      </c>
      <c r="B17" s="6">
        <f>B16-C17</f>
        <v>926250</v>
      </c>
      <c r="C17" s="6">
        <f t="shared" ref="C17" si="1">C15</f>
        <v>146250</v>
      </c>
      <c r="D17" s="6">
        <f t="shared" ref="D17:D22" si="2">D16+C17</f>
        <v>1023750</v>
      </c>
    </row>
    <row r="18" spans="1:4" x14ac:dyDescent="0.25">
      <c r="A18" s="9">
        <v>46387</v>
      </c>
      <c r="B18" s="6">
        <f t="shared" ref="B18:B20" si="3">B17-C18</f>
        <v>780000</v>
      </c>
      <c r="C18" s="6">
        <f t="shared" ref="C18" si="4">C17</f>
        <v>146250</v>
      </c>
      <c r="D18" s="6">
        <f t="shared" si="2"/>
        <v>1170000</v>
      </c>
    </row>
    <row r="19" spans="1:4" x14ac:dyDescent="0.25">
      <c r="A19" s="9">
        <v>46752</v>
      </c>
      <c r="B19" s="6">
        <f t="shared" si="3"/>
        <v>633750</v>
      </c>
      <c r="C19" s="6">
        <f t="shared" ref="C19" si="5">C17</f>
        <v>146250</v>
      </c>
      <c r="D19" s="6">
        <f t="shared" si="2"/>
        <v>1316250</v>
      </c>
    </row>
    <row r="20" spans="1:4" x14ac:dyDescent="0.25">
      <c r="A20" s="9">
        <v>47118</v>
      </c>
      <c r="B20" s="6">
        <f t="shared" si="3"/>
        <v>487500</v>
      </c>
      <c r="C20" s="6">
        <f t="shared" ref="C20" si="6">C19</f>
        <v>146250</v>
      </c>
      <c r="D20" s="6">
        <f t="shared" si="2"/>
        <v>1462500</v>
      </c>
    </row>
    <row r="21" spans="1:4" x14ac:dyDescent="0.25">
      <c r="A21" s="9">
        <v>47483</v>
      </c>
      <c r="B21" s="11">
        <f>B20-C21</f>
        <v>341250</v>
      </c>
      <c r="C21" s="6">
        <f t="shared" ref="C21" si="7">C19</f>
        <v>146250</v>
      </c>
      <c r="D21" s="6">
        <f t="shared" si="2"/>
        <v>1608750</v>
      </c>
    </row>
    <row r="22" spans="1:4" x14ac:dyDescent="0.25">
      <c r="A22" s="9">
        <v>47848</v>
      </c>
      <c r="B22" s="11">
        <f>B21-C22</f>
        <v>195000</v>
      </c>
      <c r="C22" s="6">
        <f t="shared" ref="C22" si="8">C21</f>
        <v>146250</v>
      </c>
      <c r="D22" s="6">
        <f t="shared" si="2"/>
        <v>1755000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"/>
  <sheetViews>
    <sheetView workbookViewId="0">
      <selection activeCell="D14" sqref="A1:D14"/>
    </sheetView>
  </sheetViews>
  <sheetFormatPr baseColWidth="10" defaultRowHeight="15" x14ac:dyDescent="0.25"/>
  <cols>
    <col min="2" max="2" width="20.7109375" bestFit="1" customWidth="1"/>
    <col min="3" max="3" width="15.140625" customWidth="1"/>
    <col min="4" max="4" width="14.85546875" customWidth="1"/>
  </cols>
  <sheetData>
    <row r="1" spans="1:4" x14ac:dyDescent="0.25">
      <c r="A1" s="29" t="s">
        <v>12</v>
      </c>
      <c r="B1" s="29"/>
      <c r="C1" s="29"/>
      <c r="D1" s="29"/>
    </row>
    <row r="3" spans="1:4" x14ac:dyDescent="0.25">
      <c r="B3" s="2" t="s">
        <v>4</v>
      </c>
      <c r="C3" s="5">
        <v>250000</v>
      </c>
    </row>
    <row r="4" spans="1:4" x14ac:dyDescent="0.25">
      <c r="B4" s="2" t="s">
        <v>5</v>
      </c>
      <c r="C4" s="5">
        <f>C3*10%</f>
        <v>25000</v>
      </c>
    </row>
    <row r="5" spans="1:4" x14ac:dyDescent="0.25">
      <c r="B5" s="2" t="s">
        <v>6</v>
      </c>
      <c r="C5" s="2">
        <v>4</v>
      </c>
    </row>
    <row r="6" spans="1:4" x14ac:dyDescent="0.25">
      <c r="B6" s="2" t="s">
        <v>7</v>
      </c>
      <c r="C6" s="2">
        <f>(C3-C4)/C5</f>
        <v>56250</v>
      </c>
    </row>
    <row r="9" spans="1:4" ht="30" x14ac:dyDescent="0.25">
      <c r="A9" s="6" t="s">
        <v>10</v>
      </c>
      <c r="B9" s="6" t="s">
        <v>4</v>
      </c>
      <c r="C9" s="7" t="s">
        <v>11</v>
      </c>
      <c r="D9" s="7" t="s">
        <v>9</v>
      </c>
    </row>
    <row r="10" spans="1:4" x14ac:dyDescent="0.25">
      <c r="A10" s="4">
        <v>43465</v>
      </c>
      <c r="B10" s="5">
        <f>C3</f>
        <v>250000</v>
      </c>
      <c r="C10" s="2"/>
      <c r="D10" s="2"/>
    </row>
    <row r="11" spans="1:4" x14ac:dyDescent="0.25">
      <c r="A11" s="4">
        <v>43830</v>
      </c>
      <c r="B11" s="2">
        <f>B10-C11</f>
        <v>193750</v>
      </c>
      <c r="C11" s="2">
        <f>C6</f>
        <v>56250</v>
      </c>
      <c r="D11" s="2">
        <f>C10+C11</f>
        <v>56250</v>
      </c>
    </row>
    <row r="12" spans="1:4" x14ac:dyDescent="0.25">
      <c r="A12" s="4">
        <v>44196</v>
      </c>
      <c r="B12" s="2">
        <f t="shared" ref="B12:B14" si="0">B11-C12</f>
        <v>137500</v>
      </c>
      <c r="C12" s="2">
        <f>C6</f>
        <v>56250</v>
      </c>
      <c r="D12" s="2">
        <f>D11+C12</f>
        <v>112500</v>
      </c>
    </row>
    <row r="13" spans="1:4" x14ac:dyDescent="0.25">
      <c r="A13" s="4">
        <v>44561</v>
      </c>
      <c r="B13" s="2">
        <f t="shared" si="0"/>
        <v>81250</v>
      </c>
      <c r="C13" s="2">
        <f>C6</f>
        <v>56250</v>
      </c>
      <c r="D13" s="2">
        <f>D12+C13</f>
        <v>168750</v>
      </c>
    </row>
    <row r="14" spans="1:4" x14ac:dyDescent="0.25">
      <c r="A14" s="4">
        <v>44926</v>
      </c>
      <c r="B14" s="2">
        <f t="shared" si="0"/>
        <v>25000</v>
      </c>
      <c r="C14" s="2">
        <f>C6</f>
        <v>56250</v>
      </c>
      <c r="D14" s="2">
        <f>D13+C14</f>
        <v>225000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workbookViewId="0">
      <selection activeCell="C28" sqref="B22:C28"/>
    </sheetView>
  </sheetViews>
  <sheetFormatPr baseColWidth="10" defaultRowHeight="15" x14ac:dyDescent="0.25"/>
  <cols>
    <col min="2" max="2" width="20.7109375" bestFit="1" customWidth="1"/>
    <col min="3" max="3" width="14.5703125" customWidth="1"/>
    <col min="4" max="4" width="17.140625" customWidth="1"/>
  </cols>
  <sheetData>
    <row r="1" spans="1:4" x14ac:dyDescent="0.25">
      <c r="A1" s="29" t="s">
        <v>14</v>
      </c>
      <c r="B1" s="29"/>
      <c r="C1" s="29"/>
      <c r="D1" s="29"/>
    </row>
    <row r="3" spans="1:4" x14ac:dyDescent="0.25">
      <c r="B3" s="2" t="s">
        <v>4</v>
      </c>
      <c r="C3" s="5">
        <v>100000</v>
      </c>
    </row>
    <row r="4" spans="1:4" x14ac:dyDescent="0.25">
      <c r="B4" s="2" t="s">
        <v>5</v>
      </c>
      <c r="C4" s="5">
        <f>C3*10%</f>
        <v>10000</v>
      </c>
    </row>
    <row r="5" spans="1:4" x14ac:dyDescent="0.25">
      <c r="B5" s="2" t="s">
        <v>6</v>
      </c>
      <c r="C5" s="2">
        <v>6</v>
      </c>
    </row>
    <row r="6" spans="1:4" x14ac:dyDescent="0.25">
      <c r="B6" s="2" t="s">
        <v>7</v>
      </c>
      <c r="C6" s="2">
        <f>(C3-C4)/C5</f>
        <v>15000</v>
      </c>
    </row>
    <row r="9" spans="1:4" ht="60" x14ac:dyDescent="0.25">
      <c r="A9" s="6" t="s">
        <v>10</v>
      </c>
      <c r="B9" s="6" t="s">
        <v>4</v>
      </c>
      <c r="C9" s="7" t="s">
        <v>11</v>
      </c>
      <c r="D9" s="7" t="s">
        <v>9</v>
      </c>
    </row>
    <row r="10" spans="1:4" x14ac:dyDescent="0.25">
      <c r="A10" s="9">
        <v>43465</v>
      </c>
      <c r="B10" s="10">
        <f>C3</f>
        <v>100000</v>
      </c>
      <c r="C10" s="6"/>
      <c r="D10" s="6"/>
    </row>
    <row r="11" spans="1:4" x14ac:dyDescent="0.25">
      <c r="A11" s="9">
        <v>43830</v>
      </c>
      <c r="B11" s="6">
        <f>B10-C11</f>
        <v>85000</v>
      </c>
      <c r="C11" s="6">
        <f>C6</f>
        <v>15000</v>
      </c>
      <c r="D11" s="6">
        <f>C10+C11</f>
        <v>15000</v>
      </c>
    </row>
    <row r="12" spans="1:4" x14ac:dyDescent="0.25">
      <c r="A12" s="9">
        <v>44196</v>
      </c>
      <c r="B12" s="6">
        <f t="shared" ref="B12:B14" si="0">B11-C12</f>
        <v>70000</v>
      </c>
      <c r="C12" s="6">
        <f>C6</f>
        <v>15000</v>
      </c>
      <c r="D12" s="6">
        <f>D11+C12</f>
        <v>30000</v>
      </c>
    </row>
    <row r="13" spans="1:4" x14ac:dyDescent="0.25">
      <c r="A13" s="9">
        <v>44561</v>
      </c>
      <c r="B13" s="6">
        <f t="shared" si="0"/>
        <v>55000</v>
      </c>
      <c r="C13" s="6">
        <f>C6</f>
        <v>15000</v>
      </c>
      <c r="D13" s="6">
        <f>D12+C13</f>
        <v>45000</v>
      </c>
    </row>
    <row r="14" spans="1:4" x14ac:dyDescent="0.25">
      <c r="A14" s="9">
        <v>44926</v>
      </c>
      <c r="B14" s="6">
        <f t="shared" si="0"/>
        <v>40000</v>
      </c>
      <c r="C14" s="6">
        <f>C6</f>
        <v>15000</v>
      </c>
      <c r="D14" s="6">
        <f>D13+C14</f>
        <v>60000</v>
      </c>
    </row>
    <row r="15" spans="1:4" x14ac:dyDescent="0.25">
      <c r="A15" s="9">
        <v>45291</v>
      </c>
      <c r="B15" s="11">
        <f>B14-C15</f>
        <v>25000</v>
      </c>
      <c r="C15" s="6">
        <f>C13</f>
        <v>15000</v>
      </c>
      <c r="D15" s="6">
        <f>D14+C15</f>
        <v>75000</v>
      </c>
    </row>
    <row r="16" spans="1:4" x14ac:dyDescent="0.25">
      <c r="A16" s="9">
        <v>45657</v>
      </c>
      <c r="B16" s="11">
        <f>B15-C16</f>
        <v>10000</v>
      </c>
      <c r="C16" s="6">
        <f>C15</f>
        <v>15000</v>
      </c>
      <c r="D16" s="6">
        <f>D15+C16</f>
        <v>90000</v>
      </c>
    </row>
    <row r="22" spans="2:3" ht="30" x14ac:dyDescent="0.25">
      <c r="B22" s="2"/>
      <c r="C22" s="3" t="s">
        <v>62</v>
      </c>
    </row>
    <row r="23" spans="2:3" x14ac:dyDescent="0.25">
      <c r="B23" s="2" t="s">
        <v>0</v>
      </c>
      <c r="C23" s="2">
        <v>15000</v>
      </c>
    </row>
    <row r="24" spans="2:3" x14ac:dyDescent="0.25">
      <c r="B24" s="2" t="s">
        <v>1</v>
      </c>
      <c r="C24" s="2">
        <v>56250</v>
      </c>
    </row>
    <row r="25" spans="2:3" x14ac:dyDescent="0.25">
      <c r="B25" s="2" t="s">
        <v>2</v>
      </c>
      <c r="C25" s="2">
        <v>146250</v>
      </c>
    </row>
    <row r="26" spans="2:3" x14ac:dyDescent="0.25">
      <c r="B26" s="2" t="s">
        <v>3</v>
      </c>
      <c r="C26" s="2">
        <v>18000</v>
      </c>
    </row>
    <row r="27" spans="2:3" x14ac:dyDescent="0.25">
      <c r="B27" s="2" t="s">
        <v>14</v>
      </c>
      <c r="C27" s="2">
        <v>405000</v>
      </c>
    </row>
    <row r="28" spans="2:3" x14ac:dyDescent="0.25">
      <c r="B28" s="2"/>
      <c r="C28" s="2">
        <f>SUM(C23:C27)</f>
        <v>640500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selection activeCell="F23" sqref="F23"/>
    </sheetView>
  </sheetViews>
  <sheetFormatPr baseColWidth="10" defaultRowHeight="15" x14ac:dyDescent="0.25"/>
  <cols>
    <col min="1" max="1" width="26.28515625" customWidth="1"/>
    <col min="2" max="2" width="12.5703125" bestFit="1" customWidth="1"/>
    <col min="4" max="4" width="16.85546875" bestFit="1" customWidth="1"/>
    <col min="7" max="8" width="16.85546875" bestFit="1" customWidth="1"/>
  </cols>
  <sheetData>
    <row r="1" spans="1:7" x14ac:dyDescent="0.25">
      <c r="A1" s="30" t="s">
        <v>15</v>
      </c>
      <c r="B1" s="31"/>
    </row>
    <row r="2" spans="1:7" x14ac:dyDescent="0.25">
      <c r="A2" s="12" t="s">
        <v>28</v>
      </c>
      <c r="B2" s="2">
        <v>0</v>
      </c>
    </row>
    <row r="3" spans="1:7" x14ac:dyDescent="0.25">
      <c r="A3" s="2" t="s">
        <v>26</v>
      </c>
      <c r="B3" s="5"/>
    </row>
    <row r="4" spans="1:7" ht="30" x14ac:dyDescent="0.25">
      <c r="A4" s="3" t="s">
        <v>31</v>
      </c>
      <c r="B4" s="5">
        <v>85000000</v>
      </c>
      <c r="D4" s="32" t="s">
        <v>30</v>
      </c>
      <c r="E4" s="32"/>
      <c r="F4" s="32"/>
      <c r="G4" s="32"/>
    </row>
    <row r="5" spans="1:7" x14ac:dyDescent="0.25">
      <c r="A5" s="2" t="s">
        <v>32</v>
      </c>
      <c r="B5" s="5">
        <v>21170000</v>
      </c>
      <c r="D5" s="6"/>
      <c r="E5" s="6" t="s">
        <v>36</v>
      </c>
      <c r="F5" s="6" t="s">
        <v>35</v>
      </c>
      <c r="G5" s="13" t="s">
        <v>51</v>
      </c>
    </row>
    <row r="6" spans="1:7" x14ac:dyDescent="0.25">
      <c r="A6" s="12" t="s">
        <v>33</v>
      </c>
      <c r="B6" s="5">
        <f>SUM(B4:B5)</f>
        <v>106170000</v>
      </c>
      <c r="D6" s="2" t="s">
        <v>17</v>
      </c>
      <c r="E6" s="5">
        <v>3000000</v>
      </c>
      <c r="F6" s="5">
        <f>E6*6</f>
        <v>18000000</v>
      </c>
      <c r="G6" s="5">
        <f>E6*12</f>
        <v>36000000</v>
      </c>
    </row>
    <row r="7" spans="1:7" x14ac:dyDescent="0.25">
      <c r="A7" s="2" t="s">
        <v>30</v>
      </c>
      <c r="B7" s="5">
        <f>F10</f>
        <v>69960000</v>
      </c>
      <c r="D7" s="2" t="s">
        <v>18</v>
      </c>
      <c r="E7" s="5">
        <v>6480000</v>
      </c>
      <c r="F7" s="5">
        <f t="shared" ref="F7:F8" si="0">E7*6</f>
        <v>38880000</v>
      </c>
      <c r="G7" s="5">
        <f t="shared" ref="G7:G9" si="1">E7*12</f>
        <v>77760000</v>
      </c>
    </row>
    <row r="8" spans="1:7" x14ac:dyDescent="0.25">
      <c r="A8" s="12" t="s">
        <v>29</v>
      </c>
      <c r="B8" s="5">
        <f>B6+B7</f>
        <v>176130000</v>
      </c>
      <c r="D8" s="2" t="s">
        <v>20</v>
      </c>
      <c r="E8" s="5">
        <v>980000</v>
      </c>
      <c r="F8" s="5">
        <f t="shared" si="0"/>
        <v>5880000</v>
      </c>
      <c r="G8" s="5">
        <f t="shared" si="1"/>
        <v>11760000</v>
      </c>
    </row>
    <row r="9" spans="1:7" x14ac:dyDescent="0.25">
      <c r="B9" s="1"/>
      <c r="D9" s="2" t="s">
        <v>16</v>
      </c>
      <c r="E9" s="5">
        <v>1200000</v>
      </c>
      <c r="F9" s="5">
        <f>E9*6</f>
        <v>7200000</v>
      </c>
      <c r="G9" s="5">
        <f t="shared" si="1"/>
        <v>14400000</v>
      </c>
    </row>
    <row r="10" spans="1:7" x14ac:dyDescent="0.25">
      <c r="D10" s="2"/>
      <c r="E10" s="5">
        <f>SUM(E6:E9)</f>
        <v>11660000</v>
      </c>
      <c r="F10" s="5">
        <f>SUM(F6:F9)</f>
        <v>69960000</v>
      </c>
      <c r="G10" s="5">
        <f>SUM(G6:G9)</f>
        <v>139920000</v>
      </c>
    </row>
    <row r="13" spans="1:7" x14ac:dyDescent="0.25">
      <c r="D13" s="32" t="s">
        <v>34</v>
      </c>
      <c r="E13" s="32"/>
      <c r="F13" s="32"/>
      <c r="G13" s="32"/>
    </row>
    <row r="14" spans="1:7" x14ac:dyDescent="0.25">
      <c r="D14" s="6" t="s">
        <v>39</v>
      </c>
      <c r="E14" s="6" t="s">
        <v>38</v>
      </c>
      <c r="F14" s="6" t="s">
        <v>37</v>
      </c>
      <c r="G14" s="6" t="s">
        <v>36</v>
      </c>
    </row>
    <row r="15" spans="1:7" x14ac:dyDescent="0.25">
      <c r="D15" s="5" t="s">
        <v>21</v>
      </c>
      <c r="E15" s="5">
        <v>1100000</v>
      </c>
      <c r="F15" s="8">
        <v>1</v>
      </c>
      <c r="G15" s="5">
        <f>F15*E15</f>
        <v>1100000</v>
      </c>
    </row>
    <row r="16" spans="1:7" x14ac:dyDescent="0.25">
      <c r="D16" s="5" t="s">
        <v>22</v>
      </c>
      <c r="E16" s="5">
        <v>910000</v>
      </c>
      <c r="F16" s="8">
        <v>2</v>
      </c>
      <c r="G16" s="5">
        <f>F16*E16</f>
        <v>1820000</v>
      </c>
    </row>
    <row r="17" spans="4:7" x14ac:dyDescent="0.25">
      <c r="D17" s="5" t="s">
        <v>23</v>
      </c>
      <c r="E17" s="5">
        <v>890000</v>
      </c>
      <c r="F17" s="8">
        <v>1</v>
      </c>
      <c r="G17" s="5">
        <f>F17*E17</f>
        <v>890000</v>
      </c>
    </row>
    <row r="18" spans="4:7" x14ac:dyDescent="0.25">
      <c r="D18" s="5" t="s">
        <v>24</v>
      </c>
      <c r="E18" s="5">
        <v>890000</v>
      </c>
      <c r="F18" s="8">
        <v>2</v>
      </c>
      <c r="G18" s="5">
        <f>F18*E18</f>
        <v>1780000</v>
      </c>
    </row>
    <row r="19" spans="4:7" x14ac:dyDescent="0.25">
      <c r="D19" s="5" t="s">
        <v>25</v>
      </c>
      <c r="E19" s="5">
        <v>890000</v>
      </c>
      <c r="F19" s="8">
        <v>1</v>
      </c>
      <c r="G19" s="5">
        <f>F19*E19</f>
        <v>890000</v>
      </c>
    </row>
    <row r="20" spans="4:7" x14ac:dyDescent="0.25">
      <c r="D20" s="5"/>
      <c r="E20" s="5"/>
      <c r="F20" s="5"/>
      <c r="G20" s="5">
        <f>SUM(G15:G19)</f>
        <v>6480000</v>
      </c>
    </row>
  </sheetData>
  <mergeCells count="3">
    <mergeCell ref="A1:B1"/>
    <mergeCell ref="D13:G13"/>
    <mergeCell ref="D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4"/>
  <sheetViews>
    <sheetView workbookViewId="0">
      <selection activeCell="M21" sqref="M21"/>
    </sheetView>
  </sheetViews>
  <sheetFormatPr baseColWidth="10" defaultRowHeight="15" x14ac:dyDescent="0.25"/>
  <cols>
    <col min="1" max="1" width="13.140625" customWidth="1"/>
    <col min="2" max="2" width="12.28515625" customWidth="1"/>
    <col min="5" max="5" width="14.140625" bestFit="1" customWidth="1"/>
    <col min="6" max="11" width="12.5703125" bestFit="1" customWidth="1"/>
    <col min="12" max="12" width="13.7109375" bestFit="1" customWidth="1"/>
    <col min="13" max="13" width="15.140625" bestFit="1" customWidth="1"/>
    <col min="14" max="14" width="12.5703125" bestFit="1" customWidth="1"/>
  </cols>
  <sheetData>
    <row r="1" spans="1:14" x14ac:dyDescent="0.25">
      <c r="A1" s="29" t="s">
        <v>54</v>
      </c>
      <c r="B1" s="29"/>
      <c r="C1" s="29"/>
      <c r="D1" s="29"/>
      <c r="E1" s="29"/>
    </row>
    <row r="2" spans="1:14" ht="45" x14ac:dyDescent="0.25">
      <c r="A2" s="3" t="s">
        <v>40</v>
      </c>
      <c r="B2" s="14">
        <v>0.08</v>
      </c>
      <c r="C2" s="3" t="s">
        <v>41</v>
      </c>
      <c r="D2" s="2" t="s">
        <v>29</v>
      </c>
      <c r="E2" s="3" t="s">
        <v>52</v>
      </c>
    </row>
    <row r="3" spans="1:14" x14ac:dyDescent="0.25">
      <c r="A3" s="2">
        <v>129</v>
      </c>
      <c r="B3" s="8">
        <f>A3*8%</f>
        <v>10.32</v>
      </c>
      <c r="C3" s="2">
        <v>1800000</v>
      </c>
      <c r="D3" s="2">
        <f>C3*B3</f>
        <v>18576000</v>
      </c>
      <c r="E3" s="2">
        <f>D3*12</f>
        <v>222912000</v>
      </c>
      <c r="J3" t="s">
        <v>60</v>
      </c>
    </row>
    <row r="4" spans="1:14" x14ac:dyDescent="0.25">
      <c r="J4" s="1">
        <f>F10+F11</f>
        <v>181920000</v>
      </c>
      <c r="K4" s="1">
        <f t="shared" ref="K4:N4" si="0">G10+G11</f>
        <v>181920000</v>
      </c>
      <c r="L4" s="1">
        <f t="shared" si="0"/>
        <v>181920000</v>
      </c>
      <c r="M4" s="1">
        <f t="shared" si="0"/>
        <v>181920000</v>
      </c>
      <c r="N4" s="1">
        <f t="shared" si="0"/>
        <v>181920000</v>
      </c>
    </row>
    <row r="5" spans="1:14" x14ac:dyDescent="0.25">
      <c r="A5" s="33"/>
      <c r="B5" s="33"/>
      <c r="C5" s="33"/>
      <c r="D5" s="33"/>
    </row>
    <row r="7" spans="1:14" x14ac:dyDescent="0.25">
      <c r="M7" s="1"/>
    </row>
    <row r="8" spans="1:14" x14ac:dyDescent="0.25">
      <c r="E8" s="2" t="s">
        <v>50</v>
      </c>
      <c r="F8" s="2">
        <v>1</v>
      </c>
      <c r="G8" s="2">
        <v>2</v>
      </c>
      <c r="H8" s="2">
        <v>3</v>
      </c>
      <c r="I8" s="2">
        <v>4</v>
      </c>
      <c r="J8" s="2">
        <v>5</v>
      </c>
    </row>
    <row r="9" spans="1:14" ht="30" x14ac:dyDescent="0.25">
      <c r="B9" s="17" t="s">
        <v>42</v>
      </c>
      <c r="C9" s="18"/>
      <c r="D9" s="19"/>
      <c r="E9" s="5"/>
      <c r="F9" s="5">
        <f>E3</f>
        <v>222912000</v>
      </c>
      <c r="G9" s="5">
        <f>F9+(F9*8%)</f>
        <v>240744960</v>
      </c>
      <c r="H9" s="5">
        <f>G9+(G9*8%)</f>
        <v>260004556.80000001</v>
      </c>
      <c r="I9" s="5">
        <f>H9+(H9*8%)</f>
        <v>280804921.34399998</v>
      </c>
      <c r="J9" s="5">
        <f>I9+(I9*8%)</f>
        <v>303269315.05151999</v>
      </c>
      <c r="K9" s="1"/>
      <c r="L9" s="1"/>
      <c r="M9" s="1"/>
    </row>
    <row r="10" spans="1:14" x14ac:dyDescent="0.25">
      <c r="B10" s="20" t="s">
        <v>43</v>
      </c>
      <c r="C10" s="18"/>
      <c r="D10" s="19"/>
      <c r="E10" s="5"/>
      <c r="F10" s="5">
        <f>3500000*12</f>
        <v>42000000</v>
      </c>
      <c r="G10" s="5">
        <f>F10</f>
        <v>42000000</v>
      </c>
      <c r="H10" s="5">
        <f>3500000*12</f>
        <v>42000000</v>
      </c>
      <c r="I10" s="5">
        <f>H10</f>
        <v>42000000</v>
      </c>
      <c r="J10" s="5">
        <f>3500000*12</f>
        <v>42000000</v>
      </c>
      <c r="K10" s="1"/>
      <c r="L10" s="1"/>
      <c r="M10" s="1"/>
    </row>
    <row r="11" spans="1:14" x14ac:dyDescent="0.25">
      <c r="B11" s="20" t="s">
        <v>44</v>
      </c>
      <c r="C11" s="18"/>
      <c r="D11" s="19"/>
      <c r="E11" s="5"/>
      <c r="F11" s="5">
        <v>139920000</v>
      </c>
      <c r="G11" s="5">
        <f>F11</f>
        <v>139920000</v>
      </c>
      <c r="H11" s="5">
        <f>G11</f>
        <v>139920000</v>
      </c>
      <c r="I11" s="5">
        <f>H11</f>
        <v>139920000</v>
      </c>
      <c r="J11" s="5">
        <f>I11</f>
        <v>139920000</v>
      </c>
      <c r="K11" s="1"/>
    </row>
    <row r="12" spans="1:14" x14ac:dyDescent="0.25">
      <c r="B12" s="20" t="s">
        <v>8</v>
      </c>
      <c r="C12" s="18"/>
      <c r="D12" s="19"/>
      <c r="E12" s="5"/>
      <c r="F12" s="5">
        <v>640500</v>
      </c>
      <c r="G12" s="5">
        <v>640500</v>
      </c>
      <c r="H12" s="5">
        <v>640500</v>
      </c>
      <c r="I12" s="5">
        <v>640500</v>
      </c>
      <c r="J12" s="5">
        <v>640500</v>
      </c>
      <c r="K12" s="1"/>
    </row>
    <row r="13" spans="1:14" x14ac:dyDescent="0.25">
      <c r="B13" s="21" t="s">
        <v>45</v>
      </c>
      <c r="C13" s="18"/>
      <c r="D13" s="19"/>
      <c r="E13" s="5"/>
      <c r="F13" s="23">
        <f>F9-F10-F11-F12</f>
        <v>40351500</v>
      </c>
      <c r="G13" s="23">
        <f>G9-G10-G11-G12</f>
        <v>58184460</v>
      </c>
      <c r="H13" s="23">
        <f>H9-H10-H11-H12</f>
        <v>77444056.800000012</v>
      </c>
      <c r="I13" s="23">
        <f>I9-I10-I11-I12</f>
        <v>98244421.343999982</v>
      </c>
      <c r="J13" s="23">
        <f>J9-J10-J11-J12</f>
        <v>120708815.05151999</v>
      </c>
      <c r="K13" s="1"/>
      <c r="L13" s="1"/>
    </row>
    <row r="14" spans="1:14" x14ac:dyDescent="0.25">
      <c r="B14" s="20" t="s">
        <v>53</v>
      </c>
      <c r="C14" s="18"/>
      <c r="D14" s="19"/>
      <c r="E14" s="5"/>
      <c r="F14" s="5">
        <f>(F13*34%)</f>
        <v>13719510.000000002</v>
      </c>
      <c r="G14" s="5">
        <f>F14+(F14*5%)</f>
        <v>14405485.500000002</v>
      </c>
      <c r="H14" s="5">
        <f>G14+(G14*5%)</f>
        <v>15125759.775000002</v>
      </c>
      <c r="I14" s="5">
        <f>H14+(H14*5%)</f>
        <v>15882047.763750002</v>
      </c>
      <c r="J14" s="5">
        <f>I14+(I14*5%)</f>
        <v>16676150.151937502</v>
      </c>
      <c r="K14" s="1"/>
      <c r="L14" s="1"/>
    </row>
    <row r="15" spans="1:14" x14ac:dyDescent="0.25">
      <c r="B15" s="21" t="s">
        <v>46</v>
      </c>
      <c r="C15" s="18"/>
      <c r="D15" s="19"/>
      <c r="E15" s="5"/>
      <c r="F15" s="23">
        <f>F13-F14</f>
        <v>26631990</v>
      </c>
      <c r="G15" s="23">
        <f>G13-G14</f>
        <v>43778974.5</v>
      </c>
      <c r="H15" s="23">
        <f>H13-H14</f>
        <v>62318297.025000006</v>
      </c>
      <c r="I15" s="23">
        <f>I13-I14</f>
        <v>82362373.58024998</v>
      </c>
      <c r="J15" s="23">
        <f>J13-J14</f>
        <v>104032664.89958249</v>
      </c>
      <c r="K15" s="1"/>
      <c r="L15" s="1"/>
    </row>
    <row r="16" spans="1:14" x14ac:dyDescent="0.25">
      <c r="B16" s="20" t="s">
        <v>8</v>
      </c>
      <c r="C16" s="18"/>
      <c r="D16" s="19"/>
      <c r="E16" s="5"/>
      <c r="F16" s="5">
        <v>640500</v>
      </c>
      <c r="G16" s="5">
        <v>640500</v>
      </c>
      <c r="H16" s="5">
        <v>640500</v>
      </c>
      <c r="I16" s="5">
        <v>640500</v>
      </c>
      <c r="J16" s="5">
        <v>640500</v>
      </c>
      <c r="K16" s="1"/>
      <c r="L16" s="1"/>
    </row>
    <row r="17" spans="2:13" x14ac:dyDescent="0.25">
      <c r="B17" s="20" t="s">
        <v>27</v>
      </c>
      <c r="C17" s="18"/>
      <c r="D17" s="19"/>
      <c r="E17" s="5">
        <v>173730000</v>
      </c>
      <c r="F17" s="5"/>
      <c r="G17" s="5"/>
      <c r="H17" s="5"/>
      <c r="I17" s="5"/>
      <c r="J17" s="5"/>
      <c r="K17" s="1"/>
      <c r="L17" s="1"/>
    </row>
    <row r="18" spans="2:13" x14ac:dyDescent="0.25">
      <c r="B18" s="20" t="s">
        <v>47</v>
      </c>
      <c r="C18" s="18"/>
      <c r="D18" s="19"/>
      <c r="E18" s="5"/>
      <c r="F18" s="5"/>
      <c r="G18" s="5"/>
      <c r="H18" s="5"/>
      <c r="I18" s="5"/>
      <c r="J18" s="5">
        <v>6000000</v>
      </c>
      <c r="K18" s="1"/>
      <c r="L18" s="1"/>
    </row>
    <row r="19" spans="2:13" x14ac:dyDescent="0.25">
      <c r="B19" s="20" t="s">
        <v>48</v>
      </c>
      <c r="C19" s="18"/>
      <c r="D19" s="19"/>
      <c r="E19" s="5"/>
      <c r="F19" s="5"/>
      <c r="G19" s="5"/>
      <c r="H19" s="5"/>
      <c r="I19" s="5"/>
      <c r="J19" s="5">
        <f>E17*50%</f>
        <v>86865000</v>
      </c>
      <c r="K19" s="1"/>
      <c r="L19" s="1"/>
    </row>
    <row r="20" spans="2:13" x14ac:dyDescent="0.25">
      <c r="B20" s="22" t="s">
        <v>49</v>
      </c>
      <c r="C20" s="15"/>
      <c r="D20" s="16"/>
      <c r="E20" s="5">
        <f>-E17</f>
        <v>-173730000</v>
      </c>
      <c r="F20" s="23">
        <f>F15+F16</f>
        <v>27272490</v>
      </c>
      <c r="G20" s="23">
        <f>G15+G16</f>
        <v>44419474.5</v>
      </c>
      <c r="H20" s="23">
        <f>H15+H16</f>
        <v>62958797.025000006</v>
      </c>
      <c r="I20" s="23">
        <f>I15+I16</f>
        <v>83002873.58024998</v>
      </c>
      <c r="J20" s="23">
        <f t="shared" ref="J20" si="1">J15+J16</f>
        <v>104673164.89958249</v>
      </c>
      <c r="K20" s="1"/>
      <c r="M20" s="24"/>
    </row>
    <row r="21" spans="2:13" x14ac:dyDescent="0.25">
      <c r="L21" s="12" t="s">
        <v>63</v>
      </c>
      <c r="M21" s="25">
        <f>NPV(0.1,J4:N4)</f>
        <v>689619929.09078467</v>
      </c>
    </row>
    <row r="22" spans="2:13" x14ac:dyDescent="0.25">
      <c r="L22" s="12" t="s">
        <v>64</v>
      </c>
      <c r="M22" s="25">
        <f>NPV(0.1,F9:J9)</f>
        <v>977055245.36818731</v>
      </c>
    </row>
    <row r="23" spans="2:13" x14ac:dyDescent="0.25">
      <c r="D23" s="27" t="s">
        <v>58</v>
      </c>
      <c r="E23" s="25">
        <f>NPV(0.1,F20:J20)-E17</f>
        <v>56761237.81076017</v>
      </c>
      <c r="L23" s="12" t="s">
        <v>61</v>
      </c>
      <c r="M23" s="2">
        <f>M22/M21</f>
        <v>1.4168025083851128</v>
      </c>
    </row>
    <row r="24" spans="2:13" x14ac:dyDescent="0.25">
      <c r="D24" s="27" t="s">
        <v>59</v>
      </c>
      <c r="E24" s="26">
        <f>IRR(E20:J20)</f>
        <v>0.19656246101955444</v>
      </c>
    </row>
  </sheetData>
  <mergeCells count="2">
    <mergeCell ref="A5:D5"/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5"/>
  <sheetViews>
    <sheetView workbookViewId="0">
      <selection sqref="A1:L25"/>
    </sheetView>
  </sheetViews>
  <sheetFormatPr baseColWidth="10" defaultRowHeight="15" x14ac:dyDescent="0.25"/>
  <cols>
    <col min="5" max="5" width="15.140625" bestFit="1" customWidth="1"/>
    <col min="6" max="6" width="13.7109375" bestFit="1" customWidth="1"/>
    <col min="7" max="7" width="16.85546875" bestFit="1" customWidth="1"/>
    <col min="8" max="11" width="12.5703125" bestFit="1" customWidth="1"/>
    <col min="12" max="12" width="13.7109375" bestFit="1" customWidth="1"/>
    <col min="13" max="13" width="16.85546875" bestFit="1" customWidth="1"/>
  </cols>
  <sheetData>
    <row r="1" spans="1:13" x14ac:dyDescent="0.25">
      <c r="A1" s="29" t="s">
        <v>54</v>
      </c>
      <c r="B1" s="29"/>
      <c r="C1" s="29"/>
      <c r="D1" s="29"/>
      <c r="E1" s="29"/>
    </row>
    <row r="2" spans="1:13" ht="45" x14ac:dyDescent="0.25">
      <c r="A2" s="3" t="s">
        <v>40</v>
      </c>
      <c r="B2" s="14">
        <v>0.08</v>
      </c>
      <c r="C2" s="3" t="s">
        <v>41</v>
      </c>
      <c r="D2" s="2" t="s">
        <v>29</v>
      </c>
      <c r="E2" s="3" t="s">
        <v>52</v>
      </c>
    </row>
    <row r="3" spans="1:13" x14ac:dyDescent="0.25">
      <c r="A3" s="2">
        <v>129</v>
      </c>
      <c r="B3" s="8">
        <f>A3*10%</f>
        <v>12.9</v>
      </c>
      <c r="C3" s="2">
        <v>1800000</v>
      </c>
      <c r="D3" s="2">
        <f>C3*B3</f>
        <v>23220000</v>
      </c>
      <c r="E3" s="2">
        <f>D3*12</f>
        <v>278640000</v>
      </c>
      <c r="H3" t="s">
        <v>60</v>
      </c>
    </row>
    <row r="4" spans="1:13" x14ac:dyDescent="0.25">
      <c r="H4" s="1">
        <f>F10+F11</f>
        <v>181920000</v>
      </c>
      <c r="I4" s="1">
        <f t="shared" ref="I4:L4" si="0">G10+G11</f>
        <v>181920000</v>
      </c>
      <c r="J4" s="1">
        <f t="shared" si="0"/>
        <v>181920000</v>
      </c>
      <c r="K4" s="1">
        <f t="shared" si="0"/>
        <v>181920000</v>
      </c>
      <c r="L4" s="1">
        <f t="shared" si="0"/>
        <v>181920000</v>
      </c>
      <c r="M4" s="1"/>
    </row>
    <row r="5" spans="1:13" x14ac:dyDescent="0.25">
      <c r="A5" s="33"/>
      <c r="B5" s="33"/>
      <c r="C5" s="33"/>
      <c r="D5" s="33"/>
    </row>
    <row r="7" spans="1:13" x14ac:dyDescent="0.25">
      <c r="M7" s="1"/>
    </row>
    <row r="8" spans="1:13" x14ac:dyDescent="0.25">
      <c r="B8" s="28"/>
      <c r="C8" s="28"/>
      <c r="D8" s="28"/>
      <c r="E8" s="2" t="s">
        <v>50</v>
      </c>
      <c r="F8" s="2">
        <v>1</v>
      </c>
      <c r="G8" s="2">
        <v>2</v>
      </c>
      <c r="H8" s="2">
        <v>3</v>
      </c>
      <c r="I8" s="2">
        <v>4</v>
      </c>
      <c r="J8" s="2">
        <v>5</v>
      </c>
    </row>
    <row r="9" spans="1:13" ht="45" customHeight="1" x14ac:dyDescent="0.25">
      <c r="B9" s="37" t="s">
        <v>42</v>
      </c>
      <c r="C9" s="38"/>
      <c r="D9" s="39"/>
      <c r="E9" s="5"/>
      <c r="F9" s="5">
        <f>E3</f>
        <v>278640000</v>
      </c>
      <c r="G9" s="5">
        <f>F9+(F9*10%)</f>
        <v>306504000</v>
      </c>
      <c r="H9" s="5">
        <f>G9+(G9*10%)</f>
        <v>337154400</v>
      </c>
      <c r="I9" s="5">
        <f>H9+(H9*10%)</f>
        <v>370869840</v>
      </c>
      <c r="J9" s="5">
        <f>I9+(I9*10%)</f>
        <v>407956824</v>
      </c>
      <c r="K9" s="1"/>
      <c r="L9" s="1"/>
      <c r="M9" s="1"/>
    </row>
    <row r="10" spans="1:13" x14ac:dyDescent="0.25">
      <c r="B10" s="34" t="s">
        <v>43</v>
      </c>
      <c r="C10" s="35"/>
      <c r="D10" s="36"/>
      <c r="E10" s="5"/>
      <c r="F10" s="5">
        <f>3500000*12</f>
        <v>42000000</v>
      </c>
      <c r="G10" s="5">
        <f>F10</f>
        <v>42000000</v>
      </c>
      <c r="H10" s="5">
        <f>3500000*12</f>
        <v>42000000</v>
      </c>
      <c r="I10" s="5">
        <f>H10</f>
        <v>42000000</v>
      </c>
      <c r="J10" s="5">
        <f>3500000*12</f>
        <v>42000000</v>
      </c>
      <c r="K10" s="1"/>
      <c r="L10" s="1"/>
      <c r="M10" s="1"/>
    </row>
    <row r="11" spans="1:13" x14ac:dyDescent="0.25">
      <c r="B11" s="34" t="s">
        <v>44</v>
      </c>
      <c r="C11" s="35"/>
      <c r="D11" s="36"/>
      <c r="E11" s="5"/>
      <c r="F11" s="5">
        <v>139920000</v>
      </c>
      <c r="G11" s="5">
        <f>F11</f>
        <v>139920000</v>
      </c>
      <c r="H11" s="5">
        <f>G11</f>
        <v>139920000</v>
      </c>
      <c r="I11" s="5">
        <f>H11</f>
        <v>139920000</v>
      </c>
      <c r="J11" s="5">
        <f>I11</f>
        <v>139920000</v>
      </c>
      <c r="K11" s="1"/>
    </row>
    <row r="12" spans="1:13" x14ac:dyDescent="0.25">
      <c r="B12" s="34" t="s">
        <v>8</v>
      </c>
      <c r="C12" s="35"/>
      <c r="D12" s="36"/>
      <c r="E12" s="5"/>
      <c r="F12" s="5">
        <v>640500</v>
      </c>
      <c r="G12" s="5">
        <v>640500</v>
      </c>
      <c r="H12" s="5">
        <v>640500</v>
      </c>
      <c r="I12" s="5">
        <v>640500</v>
      </c>
      <c r="J12" s="5">
        <v>640500</v>
      </c>
      <c r="K12" s="1"/>
    </row>
    <row r="13" spans="1:13" x14ac:dyDescent="0.25">
      <c r="B13" s="40" t="s">
        <v>45</v>
      </c>
      <c r="C13" s="41"/>
      <c r="D13" s="42"/>
      <c r="E13" s="5"/>
      <c r="F13" s="23">
        <f>F9-F10-F11-F12</f>
        <v>96079500</v>
      </c>
      <c r="G13" s="23">
        <f>G9-G10-G11-G12</f>
        <v>123943500</v>
      </c>
      <c r="H13" s="23">
        <f>H9-H10-H11-H12</f>
        <v>154593900</v>
      </c>
      <c r="I13" s="23">
        <f>I9-I10-I11-I12</f>
        <v>188309340</v>
      </c>
      <c r="J13" s="23">
        <f>J9-J10-J11-J12</f>
        <v>225396324</v>
      </c>
      <c r="K13" s="1"/>
      <c r="L13" s="1"/>
    </row>
    <row r="14" spans="1:13" x14ac:dyDescent="0.25">
      <c r="B14" s="34" t="s">
        <v>53</v>
      </c>
      <c r="C14" s="35"/>
      <c r="D14" s="36"/>
      <c r="E14" s="5"/>
      <c r="F14" s="5">
        <f>(F13*34%)</f>
        <v>32667030.000000004</v>
      </c>
      <c r="G14" s="5">
        <f>F14+(F14*5%)</f>
        <v>34300381.500000007</v>
      </c>
      <c r="H14" s="5">
        <f>G14+(G14*5%)</f>
        <v>36015400.57500001</v>
      </c>
      <c r="I14" s="5">
        <f>H14+(H14*5%)</f>
        <v>37816170.603750013</v>
      </c>
      <c r="J14" s="5">
        <f>I14+(I14*5%)</f>
        <v>39706979.133937515</v>
      </c>
      <c r="K14" s="1"/>
      <c r="L14" s="1"/>
    </row>
    <row r="15" spans="1:13" x14ac:dyDescent="0.25">
      <c r="B15" s="40" t="s">
        <v>46</v>
      </c>
      <c r="C15" s="41"/>
      <c r="D15" s="42"/>
      <c r="E15" s="5"/>
      <c r="F15" s="23">
        <f>F13-F14</f>
        <v>63412470</v>
      </c>
      <c r="G15" s="23">
        <f>G13-G14</f>
        <v>89643118.5</v>
      </c>
      <c r="H15" s="23">
        <f>H13-H14</f>
        <v>118578499.42499998</v>
      </c>
      <c r="I15" s="23">
        <f>I13-I14</f>
        <v>150493169.39624998</v>
      </c>
      <c r="J15" s="23">
        <f>J13-J14</f>
        <v>185689344.86606249</v>
      </c>
      <c r="K15" s="1"/>
      <c r="L15" s="1"/>
    </row>
    <row r="16" spans="1:13" x14ac:dyDescent="0.25">
      <c r="B16" s="34" t="s">
        <v>8</v>
      </c>
      <c r="C16" s="35"/>
      <c r="D16" s="36"/>
      <c r="E16" s="5"/>
      <c r="F16" s="5">
        <v>640500</v>
      </c>
      <c r="G16" s="5">
        <v>640500</v>
      </c>
      <c r="H16" s="5">
        <v>640500</v>
      </c>
      <c r="I16" s="5">
        <v>640500</v>
      </c>
      <c r="J16" s="5">
        <v>640500</v>
      </c>
      <c r="K16" s="1"/>
      <c r="L16" s="1"/>
    </row>
    <row r="17" spans="2:13" x14ac:dyDescent="0.25">
      <c r="B17" s="34" t="s">
        <v>27</v>
      </c>
      <c r="C17" s="35"/>
      <c r="D17" s="36"/>
      <c r="E17" s="5">
        <v>173730000</v>
      </c>
      <c r="F17" s="5"/>
      <c r="G17" s="5"/>
      <c r="H17" s="5"/>
      <c r="I17" s="5"/>
      <c r="J17" s="5"/>
      <c r="K17" s="1"/>
      <c r="L17" s="1"/>
    </row>
    <row r="18" spans="2:13" x14ac:dyDescent="0.25">
      <c r="B18" s="34" t="s">
        <v>47</v>
      </c>
      <c r="C18" s="35"/>
      <c r="D18" s="36"/>
      <c r="E18" s="5"/>
      <c r="F18" s="5"/>
      <c r="G18" s="5"/>
      <c r="H18" s="5"/>
      <c r="I18" s="5"/>
      <c r="J18" s="5">
        <v>6000000</v>
      </c>
      <c r="K18" s="1"/>
      <c r="L18" s="1"/>
    </row>
    <row r="19" spans="2:13" x14ac:dyDescent="0.25">
      <c r="B19" s="34" t="s">
        <v>48</v>
      </c>
      <c r="C19" s="35"/>
      <c r="D19" s="36"/>
      <c r="E19" s="5"/>
      <c r="F19" s="5"/>
      <c r="G19" s="5"/>
      <c r="H19" s="5"/>
      <c r="I19" s="5"/>
      <c r="J19" s="5">
        <f>E17*50%</f>
        <v>86865000</v>
      </c>
      <c r="K19" s="1"/>
      <c r="L19" s="1"/>
    </row>
    <row r="20" spans="2:13" x14ac:dyDescent="0.25">
      <c r="B20" s="40" t="s">
        <v>49</v>
      </c>
      <c r="C20" s="41"/>
      <c r="D20" s="42"/>
      <c r="E20" s="5">
        <f>-E17</f>
        <v>-173730000</v>
      </c>
      <c r="F20" s="23">
        <f>F15+F16</f>
        <v>64052970</v>
      </c>
      <c r="G20" s="23">
        <f>G15+G16</f>
        <v>90283618.5</v>
      </c>
      <c r="H20" s="23">
        <f>H15+H16</f>
        <v>119218999.42499998</v>
      </c>
      <c r="I20" s="23">
        <f>I15+I16</f>
        <v>151133669.39624998</v>
      </c>
      <c r="J20" s="23">
        <f t="shared" ref="J20" si="1">J15+J16</f>
        <v>186329844.86606249</v>
      </c>
      <c r="K20" s="1"/>
      <c r="M20" s="24"/>
    </row>
    <row r="23" spans="2:13" x14ac:dyDescent="0.25">
      <c r="D23" s="27" t="s">
        <v>58</v>
      </c>
      <c r="E23" s="25">
        <f>NPV(0.1,F20:J20)-E17</f>
        <v>267608035.84373105</v>
      </c>
      <c r="F23" s="12" t="s">
        <v>63</v>
      </c>
      <c r="G23" s="25">
        <f>NPV(0.1,H4:L4)</f>
        <v>689619929.09078467</v>
      </c>
    </row>
    <row r="24" spans="2:13" x14ac:dyDescent="0.25">
      <c r="D24" s="27" t="s">
        <v>59</v>
      </c>
      <c r="E24" s="26">
        <f>IRR(E20:J20)</f>
        <v>0.49624092325734104</v>
      </c>
      <c r="F24" s="12" t="s">
        <v>64</v>
      </c>
      <c r="G24" s="25">
        <f>NPV(0.1,F9:J9)</f>
        <v>1266545454.5454545</v>
      </c>
    </row>
    <row r="25" spans="2:13" x14ac:dyDescent="0.25">
      <c r="F25" s="12" t="s">
        <v>61</v>
      </c>
      <c r="G25" s="2">
        <f>G24/G23</f>
        <v>1.8365847637484978</v>
      </c>
    </row>
  </sheetData>
  <mergeCells count="14">
    <mergeCell ref="B19:D19"/>
    <mergeCell ref="B20:D20"/>
    <mergeCell ref="B13:D13"/>
    <mergeCell ref="B14:D14"/>
    <mergeCell ref="B16:D16"/>
    <mergeCell ref="B15:D15"/>
    <mergeCell ref="B17:D17"/>
    <mergeCell ref="B18:D18"/>
    <mergeCell ref="B12:D12"/>
    <mergeCell ref="A1:E1"/>
    <mergeCell ref="A5:D5"/>
    <mergeCell ref="B9:D9"/>
    <mergeCell ref="B10:D10"/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COMPUTADORA</vt:lpstr>
      <vt:lpstr>ESTABILIZADOR</vt:lpstr>
      <vt:lpstr>ELEVADORES</vt:lpstr>
      <vt:lpstr>TELEFONOS</vt:lpstr>
      <vt:lpstr>ESTANTES</vt:lpstr>
      <vt:lpstr>Hoja7</vt:lpstr>
      <vt:lpstr>FLUJO DE CAJA OPR</vt:lpstr>
      <vt:lpstr>sencibilizacion positiva</vt:lpstr>
      <vt:lpstr>sencibilizacion negativa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Monica Maritza Cobos Calderon</cp:lastModifiedBy>
  <dcterms:created xsi:type="dcterms:W3CDTF">2018-05-16T23:23:00Z</dcterms:created>
  <dcterms:modified xsi:type="dcterms:W3CDTF">2025-07-02T13:49:48Z</dcterms:modified>
</cp:coreProperties>
</file>